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lam\Documents\Nigeria\Nigeria Nexant\114\Investments &amp; Projects\"/>
    </mc:Choice>
  </mc:AlternateContent>
  <bookViews>
    <workbookView xWindow="0" yWindow="0" windowWidth="24000" windowHeight="9735"/>
  </bookViews>
  <sheets>
    <sheet name="Summary CAPEX Budgets" sheetId="1" r:id="rId1"/>
    <sheet name="Furn bgs vehicles" sheetId="4" r:id="rId2"/>
    <sheet name="TSP Major Proj CAPEX" sheetId="5" r:id="rId3"/>
    <sheet name="Sheet2" sheetId="2" r:id="rId4"/>
    <sheet name="Sheet3" sheetId="3" r:id="rId5"/>
  </sheets>
  <calcPr calcId="152511"/>
</workbook>
</file>

<file path=xl/calcChain.xml><?xml version="1.0" encoding="utf-8"?>
<calcChain xmlns="http://schemas.openxmlformats.org/spreadsheetml/2006/main">
  <c r="F14" i="1" l="1"/>
  <c r="E14" i="1"/>
  <c r="D14" i="1"/>
  <c r="C14" i="1"/>
  <c r="B14" i="1"/>
  <c r="B7" i="1"/>
  <c r="F39" i="1" l="1"/>
  <c r="D46" i="1"/>
  <c r="D47" i="1"/>
  <c r="C47" i="1"/>
  <c r="F28" i="1" s="1"/>
  <c r="C46" i="1"/>
  <c r="D13" i="1" s="1"/>
  <c r="C39" i="1"/>
  <c r="D39" i="1"/>
  <c r="E39" i="1"/>
  <c r="K22" i="5"/>
  <c r="K21" i="5"/>
  <c r="H20" i="5"/>
  <c r="H23" i="5" s="1"/>
  <c r="G20" i="5"/>
  <c r="G23" i="5" s="1"/>
  <c r="K19" i="5"/>
  <c r="K18" i="5"/>
  <c r="D17" i="5"/>
  <c r="F17" i="5" s="1"/>
  <c r="C16" i="5"/>
  <c r="E16" i="5" s="1"/>
  <c r="K14" i="5"/>
  <c r="E13" i="5"/>
  <c r="B5" i="5"/>
  <c r="C15" i="5" s="1"/>
  <c r="B3" i="5"/>
  <c r="F13" i="5" s="1"/>
  <c r="B15" i="5" l="1"/>
  <c r="K15" i="5" s="1"/>
  <c r="B10" i="5"/>
  <c r="E17" i="5"/>
  <c r="K17" i="5" s="1"/>
  <c r="D13" i="5"/>
  <c r="D27" i="5" s="1"/>
  <c r="D4" i="1" s="1"/>
  <c r="D16" i="5"/>
  <c r="K16" i="5" s="1"/>
  <c r="E28" i="1"/>
  <c r="D28" i="1"/>
  <c r="F13" i="1"/>
  <c r="C13" i="1"/>
  <c r="E13" i="1"/>
  <c r="B28" i="1"/>
  <c r="C28" i="1"/>
  <c r="B13" i="1"/>
  <c r="F20" i="5"/>
  <c r="F23" i="5" s="1"/>
  <c r="F28" i="5" s="1"/>
  <c r="F5" i="1" s="1"/>
  <c r="F27" i="5"/>
  <c r="F4" i="1" s="1"/>
  <c r="E20" i="5"/>
  <c r="E23" i="5" s="1"/>
  <c r="D20" i="5"/>
  <c r="D23" i="5" s="1"/>
  <c r="D28" i="5" s="1"/>
  <c r="D5" i="1" s="1"/>
  <c r="C13" i="5"/>
  <c r="E27" i="5"/>
  <c r="E4" i="1" s="1"/>
  <c r="B13" i="5"/>
  <c r="B20" i="5" l="1"/>
  <c r="K13" i="5"/>
  <c r="B27" i="5"/>
  <c r="B4" i="1" s="1"/>
  <c r="C20" i="5"/>
  <c r="C23" i="5" s="1"/>
  <c r="C27" i="5"/>
  <c r="C4" i="1" s="1"/>
  <c r="E28" i="5"/>
  <c r="E5" i="1" s="1"/>
  <c r="C28" i="5" l="1"/>
  <c r="C5" i="1" s="1"/>
  <c r="K20" i="5"/>
  <c r="B23" i="5"/>
  <c r="I20" i="5"/>
  <c r="G24" i="5" l="1"/>
  <c r="C24" i="5"/>
  <c r="B28" i="5"/>
  <c r="B5" i="1" s="1"/>
  <c r="B24" i="5"/>
  <c r="H24" i="5"/>
  <c r="D24" i="5"/>
  <c r="E24" i="5"/>
  <c r="K23" i="5"/>
  <c r="F24" i="5"/>
  <c r="C9" i="1" l="1"/>
  <c r="D9" i="1"/>
  <c r="E9" i="1"/>
  <c r="F9" i="1"/>
  <c r="B9" i="1"/>
  <c r="F23" i="4"/>
  <c r="B39" i="1" s="1"/>
  <c r="J22" i="4"/>
  <c r="F27" i="1" s="1"/>
  <c r="F26" i="1" s="1"/>
  <c r="I22" i="4"/>
  <c r="E27" i="1" s="1"/>
  <c r="E26" i="1" s="1"/>
  <c r="H22" i="4"/>
  <c r="D27" i="1" s="1"/>
  <c r="D26" i="1" s="1"/>
  <c r="G22" i="4"/>
  <c r="C27" i="1" s="1"/>
  <c r="C26" i="1" s="1"/>
  <c r="F22" i="4"/>
  <c r="B27" i="1" s="1"/>
  <c r="B26" i="1" s="1"/>
  <c r="G21" i="4"/>
  <c r="F21" i="4"/>
  <c r="F31" i="4" s="1"/>
  <c r="E20" i="4"/>
  <c r="I20" i="4" s="1"/>
  <c r="F19" i="4"/>
  <c r="E19" i="4"/>
  <c r="C18" i="4"/>
  <c r="E18" i="4" s="1"/>
  <c r="E14" i="4"/>
  <c r="C13" i="4"/>
  <c r="E13" i="4" s="1"/>
  <c r="F13" i="4" s="1"/>
  <c r="C12" i="4"/>
  <c r="E12" i="4" s="1"/>
  <c r="F12" i="4" s="1"/>
  <c r="E11" i="4"/>
  <c r="C11" i="4"/>
  <c r="D10" i="4"/>
  <c r="C10" i="4"/>
  <c r="E10" i="4" s="1"/>
  <c r="J7" i="4"/>
  <c r="I7" i="4"/>
  <c r="H7" i="4"/>
  <c r="G6" i="4"/>
  <c r="F6" i="4"/>
  <c r="E6" i="4"/>
  <c r="E5" i="4"/>
  <c r="G5" i="4" s="1"/>
  <c r="E4" i="4"/>
  <c r="E7" i="4" s="1"/>
  <c r="C59" i="1"/>
  <c r="C57" i="1" s="1"/>
  <c r="C25" i="1" s="1"/>
  <c r="D59" i="1"/>
  <c r="D57" i="1" s="1"/>
  <c r="D25" i="1" s="1"/>
  <c r="E59" i="1"/>
  <c r="E57" i="1" s="1"/>
  <c r="E25" i="1" s="1"/>
  <c r="F59" i="1"/>
  <c r="F57" i="1" s="1"/>
  <c r="F25" i="1" s="1"/>
  <c r="C56" i="1"/>
  <c r="C54" i="1" s="1"/>
  <c r="C10" i="1" s="1"/>
  <c r="D56" i="1"/>
  <c r="D54" i="1" s="1"/>
  <c r="D10" i="1" s="1"/>
  <c r="E56" i="1"/>
  <c r="E54" i="1" s="1"/>
  <c r="E10" i="1" s="1"/>
  <c r="F56" i="1"/>
  <c r="F54" i="1" s="1"/>
  <c r="F10" i="1" s="1"/>
  <c r="B59" i="1"/>
  <c r="B57" i="1" s="1"/>
  <c r="B25" i="1" s="1"/>
  <c r="B56" i="1"/>
  <c r="B54" i="1" s="1"/>
  <c r="B10" i="1" s="1"/>
  <c r="B48" i="1"/>
  <c r="C16" i="1"/>
  <c r="D16" i="1"/>
  <c r="E16" i="1"/>
  <c r="F16" i="1"/>
  <c r="B16" i="1"/>
  <c r="C19" i="1"/>
  <c r="D19" i="1"/>
  <c r="E19" i="1"/>
  <c r="F19" i="1"/>
  <c r="B19" i="1"/>
  <c r="G18" i="4" l="1"/>
  <c r="F18" i="4"/>
  <c r="F26" i="4" s="1"/>
  <c r="E26" i="4"/>
  <c r="F5" i="4"/>
  <c r="G12" i="4"/>
  <c r="C23" i="1" s="1"/>
  <c r="C22" i="1" s="1"/>
  <c r="C29" i="1" s="1"/>
  <c r="B23" i="1"/>
  <c r="B22" i="1" s="1"/>
  <c r="B29" i="1" s="1"/>
  <c r="G13" i="4"/>
  <c r="B33" i="1"/>
  <c r="J20" i="4"/>
  <c r="J26" i="4" s="1"/>
  <c r="F62" i="1"/>
  <c r="F60" i="1" s="1"/>
  <c r="F37" i="1" s="1"/>
  <c r="C48" i="1"/>
  <c r="D48" i="1"/>
  <c r="E8" i="1"/>
  <c r="F8" i="1"/>
  <c r="D8" i="1"/>
  <c r="C8" i="1"/>
  <c r="B8" i="1"/>
  <c r="H12" i="4"/>
  <c r="D23" i="1" s="1"/>
  <c r="D22" i="1" s="1"/>
  <c r="D29" i="1" s="1"/>
  <c r="G15" i="4"/>
  <c r="G26" i="4"/>
  <c r="G30" i="4"/>
  <c r="C12" i="1" s="1"/>
  <c r="C11" i="1" s="1"/>
  <c r="I30" i="4"/>
  <c r="E12" i="1" s="1"/>
  <c r="E11" i="1" s="1"/>
  <c r="I26" i="4"/>
  <c r="E15" i="4"/>
  <c r="F10" i="4"/>
  <c r="F15" i="4" s="1"/>
  <c r="G4" i="4"/>
  <c r="G7" i="4" s="1"/>
  <c r="C6" i="1" s="1"/>
  <c r="H18" i="4"/>
  <c r="F30" i="4"/>
  <c r="B12" i="1" s="1"/>
  <c r="B11" i="1" s="1"/>
  <c r="F4" i="4"/>
  <c r="E62" i="1"/>
  <c r="E60" i="1" s="1"/>
  <c r="E37" i="1" s="1"/>
  <c r="D62" i="1"/>
  <c r="D60" i="1" s="1"/>
  <c r="D37" i="1" s="1"/>
  <c r="B62" i="1"/>
  <c r="B60" i="1" s="1"/>
  <c r="B37" i="1" s="1"/>
  <c r="C62" i="1"/>
  <c r="C60" i="1" s="1"/>
  <c r="C37" i="1" s="1"/>
  <c r="B32" i="1" l="1"/>
  <c r="H13" i="4"/>
  <c r="C33" i="1"/>
  <c r="C32" i="1" s="1"/>
  <c r="C41" i="1" s="1"/>
  <c r="F7" i="4"/>
  <c r="B6" i="1" s="1"/>
  <c r="J30" i="4"/>
  <c r="F12" i="1" s="1"/>
  <c r="F11" i="1" s="1"/>
  <c r="E40" i="1"/>
  <c r="E38" i="1" s="1"/>
  <c r="C40" i="1"/>
  <c r="C38" i="1" s="1"/>
  <c r="F40" i="1"/>
  <c r="F38" i="1" s="1"/>
  <c r="D40" i="1"/>
  <c r="D38" i="1" s="1"/>
  <c r="B40" i="1"/>
  <c r="B38" i="1" s="1"/>
  <c r="H15" i="4"/>
  <c r="I12" i="4"/>
  <c r="E23" i="1" s="1"/>
  <c r="E22" i="1" s="1"/>
  <c r="E29" i="1" s="1"/>
  <c r="H30" i="4"/>
  <c r="D12" i="1" s="1"/>
  <c r="D11" i="1" s="1"/>
  <c r="H26" i="4"/>
  <c r="C43" i="1" l="1"/>
  <c r="B41" i="1"/>
  <c r="B43" i="1" s="1"/>
  <c r="I13" i="4"/>
  <c r="D33" i="1"/>
  <c r="D32" i="1" s="1"/>
  <c r="D41" i="1" s="1"/>
  <c r="D43" i="1" s="1"/>
  <c r="J12" i="4"/>
  <c r="I15" i="4"/>
  <c r="J15" i="4" l="1"/>
  <c r="F23" i="1"/>
  <c r="F22" i="1" s="1"/>
  <c r="F29" i="1" s="1"/>
  <c r="J13" i="4"/>
  <c r="F33" i="1" s="1"/>
  <c r="F32" i="1" s="1"/>
  <c r="F41" i="1" s="1"/>
  <c r="E33" i="1"/>
  <c r="E32" i="1" s="1"/>
  <c r="E41" i="1" s="1"/>
  <c r="E43" i="1" s="1"/>
  <c r="G43" i="1" l="1"/>
  <c r="G44" i="1" s="1"/>
  <c r="F43" i="1"/>
</calcChain>
</file>

<file path=xl/comments1.xml><?xml version="1.0" encoding="utf-8"?>
<comments xmlns="http://schemas.openxmlformats.org/spreadsheetml/2006/main">
  <authors>
    <author>Gulam Dhalla</author>
  </authors>
  <commentList>
    <comment ref="B7" authorId="0" shapeId="0">
      <text>
        <r>
          <rPr>
            <b/>
            <sz val="9"/>
            <color indexed="81"/>
            <rFont val="Tahoma"/>
            <charset val="1"/>
          </rPr>
          <t>Gulam Dhalla:</t>
        </r>
        <r>
          <rPr>
            <sz val="9"/>
            <color indexed="81"/>
            <rFont val="Tahoma"/>
            <charset val="1"/>
          </rPr>
          <t xml:space="preserve">
Estimated cost of 2 helicopters as per Mack Kast (to be funded by FGN)</t>
        </r>
      </text>
    </comment>
  </commentList>
</comments>
</file>

<file path=xl/sharedStrings.xml><?xml version="1.0" encoding="utf-8"?>
<sst xmlns="http://schemas.openxmlformats.org/spreadsheetml/2006/main" count="149" uniqueCount="108">
  <si>
    <t>SO capital expenditure</t>
  </si>
  <si>
    <t>MO capital expenditure</t>
  </si>
  <si>
    <t>Land &amp; Buildings</t>
  </si>
  <si>
    <t>Motor Vehicles</t>
  </si>
  <si>
    <t>Settlement system</t>
  </si>
  <si>
    <t>AMR</t>
  </si>
  <si>
    <t>SCADA</t>
  </si>
  <si>
    <t>Telecoms</t>
  </si>
  <si>
    <t>New National Control Centre</t>
  </si>
  <si>
    <t>Planning specific IT costs (PSSE etc)</t>
  </si>
  <si>
    <t>Substation Refurbishment</t>
  </si>
  <si>
    <t>New Lines and Substations</t>
  </si>
  <si>
    <t>TSP Capital Expenditure</t>
  </si>
  <si>
    <t>NIAF</t>
  </si>
  <si>
    <t>ICT Infrastructure for Settlement System</t>
  </si>
  <si>
    <t>Furniture</t>
  </si>
  <si>
    <t>Rasheed</t>
  </si>
  <si>
    <t>ICT</t>
  </si>
  <si>
    <t>Other ICT</t>
  </si>
  <si>
    <t>NIAF/Nexant</t>
  </si>
  <si>
    <t>ICT TSP</t>
  </si>
  <si>
    <t>ICT SO</t>
  </si>
  <si>
    <t>ICT MO</t>
  </si>
  <si>
    <t>ICT TSP-Corporate Allocation</t>
  </si>
  <si>
    <t>ICT SO-Corporate Allocation</t>
  </si>
  <si>
    <t>ICT MO-Corporate Allocation</t>
  </si>
  <si>
    <t>ICT Capex in millions Naira</t>
  </si>
  <si>
    <t>ICT TSP-Other Sectors</t>
  </si>
  <si>
    <t>ICT SO-Other Sectors</t>
  </si>
  <si>
    <t>ICT MO-Other Sectors</t>
  </si>
  <si>
    <t>Dan</t>
  </si>
  <si>
    <t>Dipak</t>
  </si>
  <si>
    <t>Est from Rasheed</t>
  </si>
  <si>
    <t>TSP</t>
  </si>
  <si>
    <t>SO</t>
  </si>
  <si>
    <t>MO</t>
  </si>
  <si>
    <t>ICT TCN Corporate Level</t>
  </si>
  <si>
    <t>TSP - CAPEX Additonal Requirements</t>
  </si>
  <si>
    <t>Estimated Cost</t>
  </si>
  <si>
    <t xml:space="preserve">No. </t>
  </si>
  <si>
    <t>Est. Cost (Million)</t>
  </si>
  <si>
    <t>Add - Regional Warehouses/Stores</t>
  </si>
  <si>
    <t>Add - Transformer Reclamation Workshop</t>
  </si>
  <si>
    <t>Add - Regional Manager Offices</t>
  </si>
  <si>
    <t>Total Land and Buildings</t>
  </si>
  <si>
    <t>Furniture &amp; Fittings</t>
  </si>
  <si>
    <t>TSP Feeder Verification Meters</t>
  </si>
  <si>
    <t>TSP Furniture</t>
  </si>
  <si>
    <t>SO Furniture</t>
  </si>
  <si>
    <t>MO Furniture</t>
  </si>
  <si>
    <t>SS Furniture</t>
  </si>
  <si>
    <t>Total Furniture &amp; Fittings</t>
  </si>
  <si>
    <t>Total</t>
  </si>
  <si>
    <t>Vehicles</t>
  </si>
  <si>
    <t>Est. Cost Million</t>
  </si>
  <si>
    <t>TSP Maintenance Vehicles</t>
  </si>
  <si>
    <t>TSP Utility Vehicles</t>
  </si>
  <si>
    <t>TSP Maintenance Vehicles Replacement</t>
  </si>
  <si>
    <t>TSP Recreational Vehicles Replacement</t>
  </si>
  <si>
    <t>SO Recreational Vehicles</t>
  </si>
  <si>
    <t>MO Recreational Vehicles</t>
  </si>
  <si>
    <t>SS Recreational  Vehicles</t>
  </si>
  <si>
    <t>Total Vehicles</t>
  </si>
  <si>
    <t>*Recreational vehicles are priced at $40k and assumes 103 purchased in 2014 and 10% replacement each year</t>
  </si>
  <si>
    <t>*Maintenance vehicles priced at Range Rovers and include satellite radio, camping equipment and safety equipment and tools</t>
  </si>
  <si>
    <t>TSP Vehicles</t>
  </si>
  <si>
    <t>Capital Costs for Transmission Expansion</t>
  </si>
  <si>
    <t>$Millions</t>
  </si>
  <si>
    <t>GW Target</t>
  </si>
  <si>
    <t>In Service</t>
  </si>
  <si>
    <t>Capital Refurbishment</t>
  </si>
  <si>
    <t>Package 1 - Projects under Construction</t>
  </si>
  <si>
    <t>4500+</t>
  </si>
  <si>
    <t>Package 2 - 10 GW system</t>
  </si>
  <si>
    <t>Package 3</t>
  </si>
  <si>
    <t>Package 4</t>
  </si>
  <si>
    <t>Package 5</t>
  </si>
  <si>
    <t>Capital Cash Flow Requirement</t>
  </si>
  <si>
    <t>Totals thru 2020</t>
  </si>
  <si>
    <t>Total for 20 GW by 2020</t>
  </si>
  <si>
    <t>Est. Future 23 GW by 2021</t>
  </si>
  <si>
    <t>Est. Future 26 GW by 2022</t>
  </si>
  <si>
    <t>Total - Transmission Lines and Substations</t>
  </si>
  <si>
    <t>Cumulative</t>
  </si>
  <si>
    <t>Budget Breakdown, $Millions</t>
  </si>
  <si>
    <t>Assumptions:</t>
  </si>
  <si>
    <t>1.  Cost estimate for Package 1 (completion of ongoing projects) provided by Design &amp; Construction Department-TCN.</t>
  </si>
  <si>
    <t>2.  Cost estimate for Package 2 provided by Fuji (JICA).</t>
  </si>
  <si>
    <t>3.  Cost estimate for Package 2 may need to be revised downward by up to $200 million to exclude projects that NIPP may be building.</t>
  </si>
  <si>
    <t>4.  Cost estimates for Packages 3-5 from Zaccheaus.  JICA review/revision of cost estimates still in progress as of 06-02-14.</t>
  </si>
  <si>
    <t>5.  Costs shown here for Packages 4 and 5 are rounded up from Zaccheaus numbers.</t>
  </si>
  <si>
    <t>6.  Costs for Substation Refurbishment provided by NIAF.</t>
  </si>
  <si>
    <t>7.  Phasing of expenditures for refurbishment developed in discussions with Maurice.</t>
  </si>
  <si>
    <t>8.  Project capital funding: 70% for yr 1, 15% for yr 2, 15% for yr 3 (LOC required in yr 1).</t>
  </si>
  <si>
    <t>9.  Project start date = 3 yrs prior to in-service date.</t>
  </si>
  <si>
    <t xml:space="preserve">Check Transmission Capacity versus Expected Available Generation </t>
  </si>
  <si>
    <t>System Wheeling Capacity, MW</t>
  </si>
  <si>
    <t>Peak Generation - MHI Expected Case, MW</t>
  </si>
  <si>
    <t>SS Vehicles, $M</t>
  </si>
  <si>
    <t>SS Furniture, $M</t>
  </si>
  <si>
    <t>Vehicles-Field</t>
  </si>
  <si>
    <t>Vehicles-Allocation of Shared Services</t>
  </si>
  <si>
    <t>Shahid</t>
  </si>
  <si>
    <t>Office Tools, Furniture &amp; Equipment</t>
  </si>
  <si>
    <t>Shared Services Allocation to Divisions (Nexant)</t>
  </si>
  <si>
    <t>SCADA and Telecom</t>
  </si>
  <si>
    <t>$Millions 2013 prices</t>
  </si>
  <si>
    <t>Helicopters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</si>
</sst>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#.0,,"/>
    <numFmt numFmtId="167" formatCode="0.000"/>
    <numFmt numFmtId="168" formatCode="&quot;$&quot;#,##0"/>
    <numFmt numFmtId="169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left" indent="1"/>
    </xf>
    <xf numFmtId="166" fontId="0" fillId="0" borderId="0" xfId="0" applyNumberFormat="1"/>
    <xf numFmtId="0" fontId="1" fillId="0" borderId="0" xfId="0" applyFont="1"/>
    <xf numFmtId="165" fontId="1" fillId="0" borderId="0" xfId="0" applyNumberFormat="1" applyFont="1"/>
    <xf numFmtId="0" fontId="3" fillId="0" borderId="0" xfId="0" applyFont="1"/>
    <xf numFmtId="3" fontId="5" fillId="0" borderId="1" xfId="0" applyNumberFormat="1" applyFont="1" applyBorder="1" applyAlignment="1">
      <alignment horizontal="left" indent="1"/>
    </xf>
    <xf numFmtId="0" fontId="1" fillId="0" borderId="1" xfId="0" applyFont="1" applyBorder="1"/>
    <xf numFmtId="3" fontId="6" fillId="0" borderId="0" xfId="0" applyNumberFormat="1" applyFont="1" applyAlignment="1">
      <alignment horizontal="left" indent="1"/>
    </xf>
    <xf numFmtId="3" fontId="5" fillId="2" borderId="2" xfId="0" applyNumberFormat="1" applyFont="1" applyFill="1" applyBorder="1" applyAlignment="1">
      <alignment horizontal="left" indent="1"/>
    </xf>
    <xf numFmtId="0" fontId="1" fillId="2" borderId="2" xfId="0" applyFont="1" applyFill="1" applyBorder="1"/>
    <xf numFmtId="167" fontId="0" fillId="0" borderId="0" xfId="0" applyNumberFormat="1"/>
    <xf numFmtId="2" fontId="0" fillId="0" borderId="0" xfId="0" applyNumberFormat="1"/>
    <xf numFmtId="2" fontId="1" fillId="2" borderId="2" xfId="0" applyNumberFormat="1" applyFont="1" applyFill="1" applyBorder="1"/>
    <xf numFmtId="43" fontId="0" fillId="0" borderId="0" xfId="3" applyFont="1"/>
    <xf numFmtId="43" fontId="1" fillId="2" borderId="2" xfId="3" applyFont="1" applyFill="1" applyBorder="1"/>
    <xf numFmtId="0" fontId="0" fillId="0" borderId="0" xfId="0" applyAlignment="1">
      <alignment horizontal="justify"/>
    </xf>
    <xf numFmtId="0" fontId="2" fillId="0" borderId="0" xfId="0" applyFont="1" applyAlignment="1">
      <alignment horizontal="center"/>
    </xf>
    <xf numFmtId="168" fontId="0" fillId="0" borderId="0" xfId="0" applyNumberFormat="1" applyAlignment="1">
      <alignment horizontal="justify"/>
    </xf>
    <xf numFmtId="168" fontId="0" fillId="0" borderId="0" xfId="0" applyNumberFormat="1"/>
    <xf numFmtId="169" fontId="0" fillId="0" borderId="0" xfId="1" applyNumberFormat="1" applyFont="1"/>
    <xf numFmtId="168" fontId="0" fillId="0" borderId="0" xfId="0" applyNumberFormat="1" applyAlignment="1">
      <alignment horizontal="right"/>
    </xf>
    <xf numFmtId="169" fontId="0" fillId="0" borderId="0" xfId="1" applyNumberFormat="1" applyFont="1" applyAlignment="1">
      <alignment horizontal="right"/>
    </xf>
    <xf numFmtId="168" fontId="2" fillId="0" borderId="0" xfId="0" applyNumberFormat="1" applyFont="1"/>
    <xf numFmtId="3" fontId="0" fillId="0" borderId="0" xfId="0" applyNumberFormat="1"/>
    <xf numFmtId="0" fontId="0" fillId="0" borderId="3" xfId="0" applyBorder="1"/>
    <xf numFmtId="168" fontId="0" fillId="0" borderId="3" xfId="0" applyNumberFormat="1" applyBorder="1"/>
    <xf numFmtId="0" fontId="3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8" fontId="0" fillId="0" borderId="0" xfId="0" applyNumberFormat="1" applyBorder="1"/>
    <xf numFmtId="168" fontId="0" fillId="0" borderId="8" xfId="0" applyNumberFormat="1" applyBorder="1"/>
    <xf numFmtId="0" fontId="0" fillId="0" borderId="9" xfId="0" applyBorder="1"/>
    <xf numFmtId="168" fontId="0" fillId="0" borderId="10" xfId="0" applyNumberFormat="1" applyBorder="1"/>
    <xf numFmtId="168" fontId="0" fillId="0" borderId="11" xfId="0" applyNumberFormat="1" applyBorder="1"/>
    <xf numFmtId="0" fontId="1" fillId="0" borderId="0" xfId="0" applyNumberFormat="1" applyFont="1"/>
    <xf numFmtId="0" fontId="0" fillId="0" borderId="0" xfId="0" applyNumberFormat="1"/>
    <xf numFmtId="9" fontId="0" fillId="0" borderId="0" xfId="2" applyFont="1"/>
    <xf numFmtId="2" fontId="2" fillId="0" borderId="0" xfId="0" applyNumberFormat="1" applyFont="1"/>
    <xf numFmtId="0" fontId="0" fillId="0" borderId="0" xfId="0" applyFont="1" applyAlignment="1">
      <alignment horizontal="left" indent="1"/>
    </xf>
    <xf numFmtId="165" fontId="0" fillId="0" borderId="0" xfId="0" applyNumberFormat="1" applyFont="1"/>
    <xf numFmtId="0" fontId="0" fillId="0" borderId="0" xfId="0" applyFont="1"/>
    <xf numFmtId="0" fontId="3" fillId="3" borderId="0" xfId="0" applyFont="1" applyFill="1"/>
    <xf numFmtId="0" fontId="0" fillId="3" borderId="0" xfId="0" applyFill="1"/>
    <xf numFmtId="1" fontId="2" fillId="3" borderId="0" xfId="0" applyNumberFormat="1" applyFont="1" applyFill="1"/>
    <xf numFmtId="1" fontId="0" fillId="3" borderId="0" xfId="0" applyNumberFormat="1" applyFill="1"/>
    <xf numFmtId="0" fontId="1" fillId="3" borderId="0" xfId="0" applyFont="1" applyFill="1"/>
    <xf numFmtId="1" fontId="1" fillId="3" borderId="0" xfId="0" applyNumberFormat="1" applyFont="1" applyFill="1"/>
    <xf numFmtId="0" fontId="0" fillId="3" borderId="0" xfId="0" applyFill="1" applyAlignment="1">
      <alignment horizontal="left" inden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62"/>
  <sheetViews>
    <sheetView tabSelected="1" workbookViewId="0">
      <selection activeCell="B4" sqref="B4"/>
    </sheetView>
  </sheetViews>
  <sheetFormatPr defaultRowHeight="15" x14ac:dyDescent="0.25"/>
  <cols>
    <col min="1" max="1" width="36.42578125" customWidth="1"/>
    <col min="2" max="6" width="16" customWidth="1"/>
  </cols>
  <sheetData>
    <row r="1" spans="1:39" x14ac:dyDescent="0.25">
      <c r="A1" s="6" t="s">
        <v>106</v>
      </c>
      <c r="B1" s="8">
        <v>2014</v>
      </c>
      <c r="C1" s="8">
        <v>2015</v>
      </c>
      <c r="D1" s="8">
        <v>2016</v>
      </c>
      <c r="E1" s="8">
        <v>2017</v>
      </c>
      <c r="F1" s="8">
        <v>2018</v>
      </c>
    </row>
    <row r="2" spans="1:39" x14ac:dyDescent="0.25">
      <c r="B2" s="8"/>
      <c r="C2" s="8"/>
      <c r="D2" s="8"/>
      <c r="E2" s="8"/>
      <c r="F2" s="8"/>
    </row>
    <row r="3" spans="1:39" s="6" customFormat="1" x14ac:dyDescent="0.25">
      <c r="A3" s="8" t="s">
        <v>12</v>
      </c>
      <c r="B3" s="7"/>
      <c r="C3" s="7"/>
      <c r="D3" s="7"/>
      <c r="E3" s="7"/>
      <c r="F3" s="7"/>
    </row>
    <row r="4" spans="1:39" s="6" customFormat="1" x14ac:dyDescent="0.25">
      <c r="A4" s="6" t="s">
        <v>10</v>
      </c>
      <c r="B4" s="7">
        <f>'TSP Major Proj CAPEX'!B27</f>
        <v>568.00542180000002</v>
      </c>
      <c r="C4" s="7">
        <f>'TSP Major Proj CAPEX'!C27</f>
        <v>236.66892575</v>
      </c>
      <c r="D4" s="7">
        <f>'TSP Major Proj CAPEX'!D27</f>
        <v>47.333785150000004</v>
      </c>
      <c r="E4" s="7">
        <f>'TSP Major Proj CAPEX'!E27</f>
        <v>47.333785150000004</v>
      </c>
      <c r="F4" s="7">
        <f>'TSP Major Proj CAPEX'!F27</f>
        <v>47.333785150000004</v>
      </c>
    </row>
    <row r="5" spans="1:39" s="6" customFormat="1" x14ac:dyDescent="0.25">
      <c r="A5" s="6" t="s">
        <v>11</v>
      </c>
      <c r="B5" s="7">
        <f>'TSP Major Proj CAPEX'!B28</f>
        <v>495.42081599899984</v>
      </c>
      <c r="C5" s="7">
        <f>'TSP Major Proj CAPEX'!C28</f>
        <v>2059.2278159989996</v>
      </c>
      <c r="D5" s="7">
        <f>'TSP Major Proj CAPEX'!D28</f>
        <v>1434.327</v>
      </c>
      <c r="E5" s="7">
        <f>'TSP Major Proj CAPEX'!E28</f>
        <v>1270.827</v>
      </c>
      <c r="F5" s="7">
        <f>'TSP Major Proj CAPEX'!F28</f>
        <v>1085.577</v>
      </c>
    </row>
    <row r="6" spans="1:39" s="6" customFormat="1" x14ac:dyDescent="0.25">
      <c r="A6" s="6" t="s">
        <v>2</v>
      </c>
      <c r="B6" s="7">
        <f>'Furn bgs vehicles'!F7</f>
        <v>104</v>
      </c>
      <c r="C6" s="7">
        <f>'Furn bgs vehicles'!G7</f>
        <v>104</v>
      </c>
      <c r="D6" s="7">
        <v>20</v>
      </c>
      <c r="E6" s="7">
        <v>20</v>
      </c>
      <c r="F6" s="7">
        <v>20</v>
      </c>
    </row>
    <row r="7" spans="1:39" s="6" customFormat="1" x14ac:dyDescent="0.25">
      <c r="A7" s="6" t="s">
        <v>107</v>
      </c>
      <c r="B7" s="39">
        <f>36.7</f>
        <v>36.700000000000003</v>
      </c>
      <c r="C7" s="7">
        <v>0</v>
      </c>
      <c r="D7" s="7">
        <v>0</v>
      </c>
      <c r="E7" s="7">
        <v>0</v>
      </c>
      <c r="F7" s="7">
        <v>0</v>
      </c>
    </row>
    <row r="8" spans="1:39" s="6" customFormat="1" x14ac:dyDescent="0.25">
      <c r="A8" s="6" t="s">
        <v>103</v>
      </c>
      <c r="B8" s="7">
        <f>SUM(B9:B10)</f>
        <v>11.47000205465379</v>
      </c>
      <c r="C8" s="7">
        <f t="shared" ref="C8:F8" si="0">SUM(C9:C10)</f>
        <v>12.401849188411752</v>
      </c>
      <c r="D8" s="7">
        <f t="shared" si="0"/>
        <v>3.5989829463735359</v>
      </c>
      <c r="E8" s="7">
        <f t="shared" si="0"/>
        <v>3.2741421820423255</v>
      </c>
      <c r="F8" s="7">
        <f t="shared" si="0"/>
        <v>3.2362440928703511</v>
      </c>
    </row>
    <row r="9" spans="1:39" hidden="1" x14ac:dyDescent="0.25">
      <c r="A9" s="4" t="s">
        <v>15</v>
      </c>
      <c r="B9" s="2">
        <f>'Furn bgs vehicles'!F11</f>
        <v>0.64516129032258063</v>
      </c>
      <c r="C9" s="2">
        <f>'Furn bgs vehicles'!G11</f>
        <v>0.64516129032258063</v>
      </c>
      <c r="D9" s="2">
        <f>'Furn bgs vehicles'!H11</f>
        <v>0.64516129032258063</v>
      </c>
      <c r="E9" s="2">
        <f>'Furn bgs vehicles'!I11</f>
        <v>0.64516129032258063</v>
      </c>
      <c r="F9" s="2">
        <f>'Furn bgs vehicles'!J11</f>
        <v>0.64516129032258063</v>
      </c>
    </row>
    <row r="10" spans="1:39" hidden="1" x14ac:dyDescent="0.25">
      <c r="A10" s="4" t="s">
        <v>17</v>
      </c>
      <c r="B10" s="2">
        <f>B54/157</f>
        <v>10.82484076433121</v>
      </c>
      <c r="C10" s="2">
        <f>C54/157</f>
        <v>11.756687898089172</v>
      </c>
      <c r="D10" s="2">
        <f>D54/157</f>
        <v>2.9538216560509554</v>
      </c>
      <c r="E10" s="2">
        <f>E54/157</f>
        <v>2.628980891719745</v>
      </c>
      <c r="F10" s="2">
        <f>F54/157</f>
        <v>2.5910828025477706</v>
      </c>
      <c r="G10" t="s">
        <v>30</v>
      </c>
      <c r="H10" s="2"/>
    </row>
    <row r="11" spans="1:39" s="6" customFormat="1" x14ac:dyDescent="0.25">
      <c r="A11" s="6" t="s">
        <v>3</v>
      </c>
      <c r="B11" s="7">
        <f>SUM(B12:B13)</f>
        <v>37.97</v>
      </c>
      <c r="C11" s="7">
        <f t="shared" ref="C11:F11" si="1">SUM(C12:C13)</f>
        <v>13.149999999999999</v>
      </c>
      <c r="D11" s="7">
        <f t="shared" si="1"/>
        <v>9.75</v>
      </c>
      <c r="E11" s="7">
        <f t="shared" si="1"/>
        <v>9.75</v>
      </c>
      <c r="F11" s="7">
        <f t="shared" si="1"/>
        <v>9.75</v>
      </c>
    </row>
    <row r="12" spans="1:39" s="45" customFormat="1" hidden="1" x14ac:dyDescent="0.25">
      <c r="A12" s="43" t="s">
        <v>100</v>
      </c>
      <c r="B12" s="44">
        <f>'Furn bgs vehicles'!F30</f>
        <v>37.119999999999997</v>
      </c>
      <c r="C12" s="44">
        <f>'Furn bgs vehicles'!G30</f>
        <v>12.299999999999999</v>
      </c>
      <c r="D12" s="44">
        <f>'Furn bgs vehicles'!H30</f>
        <v>8.9</v>
      </c>
      <c r="E12" s="44">
        <f>'Furn bgs vehicles'!I30</f>
        <v>8.9</v>
      </c>
      <c r="F12" s="44">
        <f>'Furn bgs vehicles'!J30</f>
        <v>8.9</v>
      </c>
      <c r="G12" t="s">
        <v>102</v>
      </c>
    </row>
    <row r="13" spans="1:39" s="45" customFormat="1" hidden="1" x14ac:dyDescent="0.25">
      <c r="A13" s="43" t="s">
        <v>101</v>
      </c>
      <c r="B13" s="44">
        <f>$C46</f>
        <v>0.85</v>
      </c>
      <c r="C13" s="44">
        <f t="shared" ref="C13:F13" si="2">$C46</f>
        <v>0.85</v>
      </c>
      <c r="D13" s="44">
        <f t="shared" si="2"/>
        <v>0.85</v>
      </c>
      <c r="E13" s="44">
        <f t="shared" si="2"/>
        <v>0.85</v>
      </c>
      <c r="F13" s="44">
        <f t="shared" si="2"/>
        <v>0.85</v>
      </c>
    </row>
    <row r="14" spans="1:39" x14ac:dyDescent="0.25">
      <c r="A14" s="2"/>
      <c r="B14" s="7">
        <f>B4+B5+B6+B7+B8+B11</f>
        <v>1253.5662398536538</v>
      </c>
      <c r="C14" s="7">
        <f t="shared" ref="C14:F14" si="3">C4+C5+C6+C7+C8+C11</f>
        <v>2425.4485909374116</v>
      </c>
      <c r="D14" s="7">
        <f t="shared" si="3"/>
        <v>1515.0097680963736</v>
      </c>
      <c r="E14" s="7">
        <f t="shared" si="3"/>
        <v>1351.1849273320424</v>
      </c>
      <c r="F14" s="7">
        <f t="shared" si="3"/>
        <v>1165.8970292428703</v>
      </c>
    </row>
    <row r="15" spans="1:39" x14ac:dyDescent="0.25">
      <c r="A15" s="8" t="s">
        <v>0</v>
      </c>
      <c r="Q15">
        <v>26</v>
      </c>
      <c r="R15">
        <v>187</v>
      </c>
      <c r="S15">
        <v>6</v>
      </c>
      <c r="T15">
        <v>6</v>
      </c>
      <c r="U15">
        <v>6</v>
      </c>
      <c r="AI15">
        <v>26</v>
      </c>
      <c r="AJ15">
        <v>187</v>
      </c>
      <c r="AK15">
        <v>6</v>
      </c>
      <c r="AL15">
        <v>6</v>
      </c>
      <c r="AM15">
        <v>6</v>
      </c>
    </row>
    <row r="16" spans="1:39" s="6" customFormat="1" x14ac:dyDescent="0.25">
      <c r="A16" s="6" t="s">
        <v>105</v>
      </c>
      <c r="B16" s="7">
        <f>SUM(B17:B18)/1000000</f>
        <v>26.212</v>
      </c>
      <c r="C16" s="7">
        <f t="shared" ref="C16:F16" si="4">SUM(C17:C18)/1000000</f>
        <v>33.67</v>
      </c>
      <c r="D16" s="7">
        <f t="shared" si="4"/>
        <v>6</v>
      </c>
      <c r="E16" s="7">
        <f t="shared" si="4"/>
        <v>6</v>
      </c>
      <c r="F16" s="7">
        <f t="shared" si="4"/>
        <v>6</v>
      </c>
    </row>
    <row r="17" spans="1:39" hidden="1" x14ac:dyDescent="0.25">
      <c r="A17" s="4" t="s">
        <v>6</v>
      </c>
      <c r="B17" s="5">
        <v>3887000</v>
      </c>
      <c r="C17" s="5">
        <v>32500000</v>
      </c>
      <c r="D17" s="5">
        <v>4000000</v>
      </c>
      <c r="E17" s="5">
        <v>4000000</v>
      </c>
      <c r="F17" s="5">
        <v>4000000</v>
      </c>
      <c r="G17" t="s">
        <v>13</v>
      </c>
    </row>
    <row r="18" spans="1:39" hidden="1" x14ac:dyDescent="0.25">
      <c r="A18" s="4" t="s">
        <v>7</v>
      </c>
      <c r="B18" s="5">
        <v>22325000</v>
      </c>
      <c r="C18" s="5">
        <v>1170000</v>
      </c>
      <c r="D18" s="5">
        <v>2000000</v>
      </c>
      <c r="E18" s="5">
        <v>2000000</v>
      </c>
      <c r="F18" s="5">
        <v>2000000</v>
      </c>
      <c r="G18" t="s">
        <v>13</v>
      </c>
    </row>
    <row r="19" spans="1:39" s="6" customFormat="1" x14ac:dyDescent="0.25">
      <c r="A19" s="6" t="s">
        <v>2</v>
      </c>
      <c r="B19" s="39">
        <f>SUM(B20:B20)</f>
        <v>0</v>
      </c>
      <c r="C19" s="39">
        <f>SUM(C20:C20)</f>
        <v>40</v>
      </c>
      <c r="D19" s="39">
        <f>SUM(D20:D20)</f>
        <v>0</v>
      </c>
      <c r="E19" s="39">
        <f>SUM(E20:E20)</f>
        <v>0</v>
      </c>
      <c r="F19" s="39">
        <f>SUM(F20:F20)</f>
        <v>0</v>
      </c>
      <c r="N19" s="6">
        <v>0</v>
      </c>
      <c r="O19" s="6">
        <v>0</v>
      </c>
      <c r="P19" s="6">
        <v>0.6</v>
      </c>
      <c r="W19" s="6">
        <v>0</v>
      </c>
      <c r="X19" s="6">
        <v>0</v>
      </c>
      <c r="Y19" s="6">
        <v>0.2</v>
      </c>
      <c r="AF19" s="6">
        <v>0</v>
      </c>
      <c r="AG19" s="6">
        <v>0</v>
      </c>
      <c r="AH19" s="6">
        <v>4.5</v>
      </c>
    </row>
    <row r="20" spans="1:39" hidden="1" x14ac:dyDescent="0.25">
      <c r="A20" s="4" t="s">
        <v>8</v>
      </c>
      <c r="B20" s="40"/>
      <c r="C20" s="40">
        <v>40</v>
      </c>
      <c r="D20" s="40"/>
      <c r="E20" s="40"/>
      <c r="F20" s="40"/>
      <c r="G20" s="5" t="s">
        <v>31</v>
      </c>
    </row>
    <row r="21" spans="1:39" x14ac:dyDescent="0.25">
      <c r="C21" s="40"/>
      <c r="D21" s="40"/>
      <c r="E21" s="40"/>
      <c r="F21" s="40"/>
      <c r="G21" s="5"/>
    </row>
    <row r="22" spans="1:39" s="6" customFormat="1" x14ac:dyDescent="0.25">
      <c r="A22" s="6" t="s">
        <v>103</v>
      </c>
      <c r="B22" s="7">
        <f>SUM(B23:B25)</f>
        <v>3.4061536881035543</v>
      </c>
      <c r="C22" s="7">
        <f t="shared" ref="C22:F22" si="5">SUM(C23:C25)</f>
        <v>2.0319498664475035</v>
      </c>
      <c r="D22" s="7">
        <f t="shared" si="5"/>
        <v>0.61156770084240808</v>
      </c>
      <c r="E22" s="7">
        <f t="shared" si="5"/>
        <v>0.57335114033285395</v>
      </c>
      <c r="F22" s="7">
        <f t="shared" si="5"/>
        <v>0.5688925416067393</v>
      </c>
      <c r="N22" s="6">
        <v>0</v>
      </c>
      <c r="O22" s="6">
        <v>0</v>
      </c>
      <c r="P22" s="6">
        <v>0</v>
      </c>
      <c r="W22" s="6">
        <v>0</v>
      </c>
      <c r="X22" s="6">
        <v>0</v>
      </c>
      <c r="Y22" s="6">
        <v>0</v>
      </c>
      <c r="AF22" s="6">
        <v>0</v>
      </c>
      <c r="AG22" s="6">
        <v>0.2</v>
      </c>
      <c r="AH22" s="6">
        <v>0</v>
      </c>
    </row>
    <row r="23" spans="1:39" hidden="1" x14ac:dyDescent="0.25">
      <c r="A23" s="4" t="s">
        <v>15</v>
      </c>
      <c r="B23" s="2">
        <f>'Furn bgs vehicles'!F12</f>
        <v>0.25806451612903225</v>
      </c>
      <c r="C23" s="2">
        <f>'Furn bgs vehicles'!G12</f>
        <v>0.25806451612903225</v>
      </c>
      <c r="D23" s="2">
        <f>'Furn bgs vehicles'!H12</f>
        <v>0.25806451612903225</v>
      </c>
      <c r="E23" s="2">
        <f>'Furn bgs vehicles'!I12</f>
        <v>0.25806451612903225</v>
      </c>
      <c r="F23" s="2">
        <f>'Furn bgs vehicles'!J12</f>
        <v>0.25806451612903225</v>
      </c>
      <c r="G23" t="s">
        <v>32</v>
      </c>
    </row>
    <row r="24" spans="1:39" hidden="1" x14ac:dyDescent="0.25">
      <c r="A24" s="4" t="s">
        <v>9</v>
      </c>
      <c r="B24" s="2">
        <v>0.25</v>
      </c>
      <c r="C24" s="2">
        <v>0.1</v>
      </c>
      <c r="D24" s="2"/>
      <c r="E24" s="2"/>
      <c r="F24" s="2"/>
      <c r="G24" t="s">
        <v>13</v>
      </c>
    </row>
    <row r="25" spans="1:39" hidden="1" x14ac:dyDescent="0.25">
      <c r="A25" s="4" t="s">
        <v>17</v>
      </c>
      <c r="B25" s="2">
        <f>B57/157</f>
        <v>2.8980891719745223</v>
      </c>
      <c r="C25" s="2">
        <f t="shared" ref="C25:F25" si="6">C57/157</f>
        <v>1.6738853503184714</v>
      </c>
      <c r="D25" s="2">
        <f t="shared" si="6"/>
        <v>0.35350318471337577</v>
      </c>
      <c r="E25" s="2">
        <f t="shared" si="6"/>
        <v>0.31528662420382164</v>
      </c>
      <c r="F25" s="2">
        <f t="shared" si="6"/>
        <v>0.31082802547770705</v>
      </c>
      <c r="G25" t="s">
        <v>30</v>
      </c>
    </row>
    <row r="26" spans="1:39" s="6" customFormat="1" x14ac:dyDescent="0.25">
      <c r="A26" s="6" t="s">
        <v>3</v>
      </c>
      <c r="B26" s="7">
        <f>SUM(B27:B28)</f>
        <v>1.1000000000000001</v>
      </c>
      <c r="C26" s="7">
        <f t="shared" ref="C26:F26" si="7">SUM(C27:C28)</f>
        <v>1.5000000000000002</v>
      </c>
      <c r="D26" s="7">
        <f t="shared" si="7"/>
        <v>1.9000000000000001</v>
      </c>
      <c r="E26" s="7">
        <f t="shared" si="7"/>
        <v>2.3000000000000003</v>
      </c>
      <c r="F26" s="7">
        <f t="shared" si="7"/>
        <v>2.7</v>
      </c>
      <c r="N26" s="6">
        <v>0.1</v>
      </c>
      <c r="O26" s="6">
        <v>0.1</v>
      </c>
      <c r="P26" s="6">
        <v>0.1</v>
      </c>
      <c r="W26" s="6">
        <v>0</v>
      </c>
      <c r="X26" s="6">
        <v>0</v>
      </c>
      <c r="Y26" s="6">
        <v>0</v>
      </c>
      <c r="AF26" s="6">
        <v>0.7</v>
      </c>
      <c r="AG26" s="6">
        <v>0.9</v>
      </c>
      <c r="AH26" s="6">
        <v>0.6</v>
      </c>
    </row>
    <row r="27" spans="1:39" s="45" customFormat="1" hidden="1" x14ac:dyDescent="0.25">
      <c r="A27" s="43" t="s">
        <v>100</v>
      </c>
      <c r="B27" s="44">
        <f>'Furn bgs vehicles'!F22</f>
        <v>1</v>
      </c>
      <c r="C27" s="44">
        <f>'Furn bgs vehicles'!G22</f>
        <v>1.4000000000000001</v>
      </c>
      <c r="D27" s="44">
        <f>'Furn bgs vehicles'!H22</f>
        <v>1.8</v>
      </c>
      <c r="E27" s="44">
        <f>'Furn bgs vehicles'!I22</f>
        <v>2.2000000000000002</v>
      </c>
      <c r="F27" s="44">
        <f>'Furn bgs vehicles'!J22</f>
        <v>2.6</v>
      </c>
      <c r="G27" t="s">
        <v>16</v>
      </c>
    </row>
    <row r="28" spans="1:39" s="45" customFormat="1" hidden="1" x14ac:dyDescent="0.25">
      <c r="A28" s="43" t="s">
        <v>101</v>
      </c>
      <c r="B28" s="44">
        <f>$C47</f>
        <v>0.1</v>
      </c>
      <c r="C28" s="44">
        <f t="shared" ref="C28:F28" si="8">$C47</f>
        <v>0.1</v>
      </c>
      <c r="D28" s="44">
        <f t="shared" si="8"/>
        <v>0.1</v>
      </c>
      <c r="E28" s="44">
        <f t="shared" si="8"/>
        <v>0.1</v>
      </c>
      <c r="F28" s="44">
        <f t="shared" si="8"/>
        <v>0.1</v>
      </c>
    </row>
    <row r="29" spans="1:39" x14ac:dyDescent="0.25">
      <c r="B29" s="7">
        <f>B16+B19+B22+B26</f>
        <v>30.718153688103556</v>
      </c>
      <c r="C29" s="7">
        <f t="shared" ref="C29:F29" si="9">C16+C19+C22+C26</f>
        <v>77.201949866447507</v>
      </c>
      <c r="D29" s="7">
        <f t="shared" si="9"/>
        <v>8.5115677008424075</v>
      </c>
      <c r="E29" s="7">
        <f t="shared" si="9"/>
        <v>8.8733511403328542</v>
      </c>
      <c r="F29" s="7">
        <f t="shared" si="9"/>
        <v>9.2688925416067391</v>
      </c>
    </row>
    <row r="30" spans="1:39" s="6" customFormat="1" x14ac:dyDescent="0.25">
      <c r="A30" s="8" t="s">
        <v>1</v>
      </c>
      <c r="B30" s="7"/>
      <c r="C30" s="7"/>
      <c r="D30" s="7"/>
      <c r="E30" s="7"/>
      <c r="F30" s="7"/>
      <c r="Z30" s="6">
        <v>0.1</v>
      </c>
      <c r="AA30" s="6">
        <v>10.1</v>
      </c>
      <c r="AB30" s="6">
        <v>0.1</v>
      </c>
      <c r="AC30" s="6">
        <v>0.1</v>
      </c>
      <c r="AD30" s="6">
        <v>0.1</v>
      </c>
      <c r="AI30" s="6">
        <v>0</v>
      </c>
      <c r="AJ30" s="6">
        <v>10</v>
      </c>
      <c r="AK30" s="6">
        <v>0</v>
      </c>
      <c r="AL30" s="6">
        <v>0</v>
      </c>
      <c r="AM30" s="6">
        <v>0</v>
      </c>
    </row>
    <row r="31" spans="1:39" s="6" customFormat="1" x14ac:dyDescent="0.25">
      <c r="A31" s="6" t="s">
        <v>2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</row>
    <row r="32" spans="1:39" s="6" customFormat="1" x14ac:dyDescent="0.25">
      <c r="A32" s="6" t="s">
        <v>103</v>
      </c>
      <c r="B32" s="7">
        <f>SUM(B33:B37)</f>
        <v>1.4974830491062259</v>
      </c>
      <c r="C32" s="7">
        <f t="shared" ref="C32:F32" si="10">SUM(C33:C37)</f>
        <v>11.586018080953361</v>
      </c>
      <c r="D32" s="7">
        <f t="shared" si="10"/>
        <v>0.86690980069858237</v>
      </c>
      <c r="E32" s="7">
        <f t="shared" si="10"/>
        <v>0.53410725292788175</v>
      </c>
      <c r="F32" s="7">
        <f t="shared" si="10"/>
        <v>0.53187795356482437</v>
      </c>
    </row>
    <row r="33" spans="1:34" hidden="1" x14ac:dyDescent="0.25">
      <c r="A33" s="4" t="s">
        <v>15</v>
      </c>
      <c r="B33" s="2">
        <f>'Furn bgs vehicles'!F13</f>
        <v>7.7419354838709681E-2</v>
      </c>
      <c r="C33" s="2">
        <f>'Furn bgs vehicles'!G13</f>
        <v>7.7419354838709681E-2</v>
      </c>
      <c r="D33" s="2">
        <f>'Furn bgs vehicles'!H13</f>
        <v>7.7419354838709681E-2</v>
      </c>
      <c r="E33" s="2">
        <f>'Furn bgs vehicles'!I13</f>
        <v>7.7419354838709681E-2</v>
      </c>
      <c r="F33" s="2">
        <f>'Furn bgs vehicles'!J13</f>
        <v>7.7419354838709681E-2</v>
      </c>
      <c r="G33" t="s">
        <v>16</v>
      </c>
    </row>
    <row r="34" spans="1:34" hidden="1" x14ac:dyDescent="0.25">
      <c r="A34" s="4" t="s">
        <v>4</v>
      </c>
      <c r="B34" s="40"/>
      <c r="C34" s="40">
        <v>10</v>
      </c>
      <c r="D34" s="40"/>
      <c r="E34" s="40"/>
      <c r="F34" s="40"/>
      <c r="G34" t="s">
        <v>13</v>
      </c>
    </row>
    <row r="35" spans="1:34" hidden="1" x14ac:dyDescent="0.25">
      <c r="A35" s="4" t="s">
        <v>5</v>
      </c>
      <c r="B35" s="40">
        <v>0.1</v>
      </c>
      <c r="C35" s="40">
        <v>0.1</v>
      </c>
      <c r="D35" s="40">
        <v>0.1</v>
      </c>
      <c r="E35" s="40">
        <v>0.1</v>
      </c>
      <c r="F35" s="40">
        <v>0.1</v>
      </c>
      <c r="G35" t="s">
        <v>13</v>
      </c>
    </row>
    <row r="36" spans="1:34" hidden="1" x14ac:dyDescent="0.25">
      <c r="A36" s="4" t="s">
        <v>14</v>
      </c>
      <c r="B36" s="2">
        <v>0.75</v>
      </c>
      <c r="C36" s="2">
        <v>0.75</v>
      </c>
      <c r="D36" s="2">
        <v>0.5</v>
      </c>
      <c r="E36" s="2">
        <v>0.25</v>
      </c>
      <c r="F36" s="2">
        <v>0.25</v>
      </c>
      <c r="G36" t="s">
        <v>19</v>
      </c>
    </row>
    <row r="37" spans="1:34" hidden="1" x14ac:dyDescent="0.25">
      <c r="A37" s="4" t="s">
        <v>18</v>
      </c>
      <c r="B37" s="2">
        <f>B60/157</f>
        <v>0.57006369426751613</v>
      </c>
      <c r="C37" s="2">
        <f t="shared" ref="C37:F37" si="11">C60/157</f>
        <v>0.65859872611464987</v>
      </c>
      <c r="D37" s="2">
        <f t="shared" si="11"/>
        <v>0.18949044585987265</v>
      </c>
      <c r="E37" s="2">
        <f t="shared" si="11"/>
        <v>0.10668789808917202</v>
      </c>
      <c r="F37" s="2">
        <f t="shared" si="11"/>
        <v>0.10445859872611468</v>
      </c>
      <c r="G37" t="s">
        <v>30</v>
      </c>
    </row>
    <row r="38" spans="1:34" s="6" customFormat="1" x14ac:dyDescent="0.25">
      <c r="A38" s="6" t="s">
        <v>3</v>
      </c>
      <c r="B38" s="7">
        <f>SUM(B39:B40)</f>
        <v>0.69666666666666677</v>
      </c>
      <c r="C38" s="7">
        <f>SUM(C39:C40)</f>
        <v>0.69666666666666677</v>
      </c>
      <c r="D38" s="7">
        <f>SUM(D39:D40)</f>
        <v>0.69666666666666677</v>
      </c>
      <c r="E38" s="7">
        <f>SUM(E39:E40)</f>
        <v>0.69666666666666677</v>
      </c>
      <c r="F38" s="7">
        <f t="shared" ref="F38" si="12">SUM(F39:F40)</f>
        <v>0.69666666666666677</v>
      </c>
      <c r="N38" s="6">
        <v>0.1</v>
      </c>
      <c r="O38" s="6">
        <v>0.1</v>
      </c>
      <c r="P38" s="6">
        <v>0.1</v>
      </c>
      <c r="W38" s="6">
        <v>0</v>
      </c>
      <c r="X38" s="6">
        <v>0</v>
      </c>
      <c r="Y38" s="6">
        <v>0</v>
      </c>
      <c r="AF38" s="6">
        <v>0.7</v>
      </c>
      <c r="AG38" s="6">
        <v>0.9</v>
      </c>
      <c r="AH38" s="6">
        <v>0.6</v>
      </c>
    </row>
    <row r="39" spans="1:34" s="45" customFormat="1" hidden="1" x14ac:dyDescent="0.25">
      <c r="A39" s="43" t="s">
        <v>100</v>
      </c>
      <c r="B39" s="44">
        <f>'Furn bgs vehicles'!F23</f>
        <v>0.64666666666666672</v>
      </c>
      <c r="C39" s="44">
        <f>'Furn bgs vehicles'!G23</f>
        <v>0.64666666666666672</v>
      </c>
      <c r="D39" s="44">
        <f>'Furn bgs vehicles'!H23</f>
        <v>0.64666666666666672</v>
      </c>
      <c r="E39" s="44">
        <f>'Furn bgs vehicles'!I23</f>
        <v>0.64666666666666672</v>
      </c>
      <c r="F39" s="44">
        <f>'Furn bgs vehicles'!J23</f>
        <v>0.64666666666666672</v>
      </c>
      <c r="G39" t="s">
        <v>16</v>
      </c>
    </row>
    <row r="40" spans="1:34" s="45" customFormat="1" hidden="1" x14ac:dyDescent="0.25">
      <c r="A40" s="43" t="s">
        <v>101</v>
      </c>
      <c r="B40" s="44">
        <f>$C48</f>
        <v>5.0000000000000017E-2</v>
      </c>
      <c r="C40" s="44">
        <f t="shared" ref="C40:F40" si="13">$C48</f>
        <v>5.0000000000000017E-2</v>
      </c>
      <c r="D40" s="44">
        <f t="shared" si="13"/>
        <v>5.0000000000000017E-2</v>
      </c>
      <c r="E40" s="44">
        <f t="shared" si="13"/>
        <v>5.0000000000000017E-2</v>
      </c>
      <c r="F40" s="44">
        <f t="shared" si="13"/>
        <v>5.0000000000000017E-2</v>
      </c>
    </row>
    <row r="41" spans="1:34" s="6" customFormat="1" x14ac:dyDescent="0.25">
      <c r="B41" s="7">
        <f>B31+B32+B38</f>
        <v>2.1941497157728929</v>
      </c>
      <c r="C41" s="7">
        <f t="shared" ref="C41:F41" si="14">C31+C32+C38</f>
        <v>12.282684747620028</v>
      </c>
      <c r="D41" s="7">
        <f t="shared" si="14"/>
        <v>1.563576467365249</v>
      </c>
      <c r="E41" s="7">
        <f t="shared" si="14"/>
        <v>1.2307739195945486</v>
      </c>
      <c r="F41" s="7">
        <f t="shared" si="14"/>
        <v>1.2285446202314911</v>
      </c>
    </row>
    <row r="42" spans="1:34" x14ac:dyDescent="0.25">
      <c r="B42" s="2"/>
      <c r="C42" s="2"/>
      <c r="D42" s="2"/>
      <c r="E42" s="2"/>
      <c r="F42" s="2"/>
    </row>
    <row r="43" spans="1:34" x14ac:dyDescent="0.25">
      <c r="B43" s="7">
        <f>B14+B29+B41</f>
        <v>1286.4785432575302</v>
      </c>
      <c r="C43" s="7">
        <f t="shared" ref="C43:F43" si="15">C14+C29+C41</f>
        <v>2514.9332255514792</v>
      </c>
      <c r="D43" s="7">
        <f t="shared" si="15"/>
        <v>1525.0849122645811</v>
      </c>
      <c r="E43" s="7">
        <f t="shared" si="15"/>
        <v>1361.28905239197</v>
      </c>
      <c r="F43" s="7">
        <f t="shared" si="15"/>
        <v>1176.3944664047085</v>
      </c>
      <c r="G43" s="7">
        <f>SUM(B43:F43)</f>
        <v>7864.1801998702686</v>
      </c>
    </row>
    <row r="44" spans="1:34" x14ac:dyDescent="0.25">
      <c r="B44" s="2"/>
      <c r="C44" s="2"/>
      <c r="D44" s="2"/>
      <c r="E44" s="2"/>
      <c r="F44" s="2"/>
      <c r="G44" s="7">
        <f>G43/5</f>
        <v>1572.8360399740536</v>
      </c>
    </row>
    <row r="45" spans="1:34" s="1" customFormat="1" x14ac:dyDescent="0.25">
      <c r="A45" s="8" t="s">
        <v>104</v>
      </c>
      <c r="C45" s="20" t="s">
        <v>98</v>
      </c>
      <c r="D45" s="20" t="s">
        <v>99</v>
      </c>
    </row>
    <row r="46" spans="1:34" x14ac:dyDescent="0.25">
      <c r="A46" s="4" t="s">
        <v>33</v>
      </c>
      <c r="B46" s="41">
        <v>0.85</v>
      </c>
      <c r="C46" s="15">
        <f>$B46*C49</f>
        <v>0.85</v>
      </c>
      <c r="D46" s="15">
        <f>$B46*D49</f>
        <v>0.21249999999999999</v>
      </c>
    </row>
    <row r="47" spans="1:34" x14ac:dyDescent="0.25">
      <c r="A47" s="4" t="s">
        <v>34</v>
      </c>
      <c r="B47" s="41">
        <v>0.1</v>
      </c>
      <c r="C47" s="15">
        <f>$B47*C49</f>
        <v>0.1</v>
      </c>
      <c r="D47" s="15">
        <f>$B47*D49</f>
        <v>2.5000000000000001E-2</v>
      </c>
    </row>
    <row r="48" spans="1:34" x14ac:dyDescent="0.25">
      <c r="A48" s="4" t="s">
        <v>35</v>
      </c>
      <c r="B48" s="41">
        <f>1-B46-B47</f>
        <v>5.0000000000000017E-2</v>
      </c>
      <c r="C48" s="42">
        <f>$B48*C49</f>
        <v>5.0000000000000017E-2</v>
      </c>
      <c r="D48" s="42">
        <f>$B48*D49</f>
        <v>1.2500000000000004E-2</v>
      </c>
    </row>
    <row r="49" spans="1:7" x14ac:dyDescent="0.25">
      <c r="B49" s="2"/>
      <c r="C49" s="15">
        <v>1</v>
      </c>
      <c r="D49" s="15">
        <v>0.25</v>
      </c>
      <c r="E49" s="2"/>
      <c r="F49" s="2"/>
    </row>
    <row r="50" spans="1:7" x14ac:dyDescent="0.25">
      <c r="B50" s="2"/>
      <c r="D50" s="2"/>
      <c r="E50" s="2"/>
      <c r="F50" s="2"/>
    </row>
    <row r="51" spans="1:7" x14ac:dyDescent="0.25">
      <c r="A51" s="46" t="s">
        <v>26</v>
      </c>
      <c r="B51" s="47"/>
      <c r="C51" s="47"/>
      <c r="D51" s="47"/>
      <c r="E51" s="47"/>
      <c r="F51" s="47"/>
    </row>
    <row r="52" spans="1:7" x14ac:dyDescent="0.25">
      <c r="A52" s="47"/>
      <c r="B52" s="48">
        <v>2014</v>
      </c>
      <c r="C52" s="48">
        <v>2015</v>
      </c>
      <c r="D52" s="48">
        <v>2016</v>
      </c>
      <c r="E52" s="48">
        <v>2017</v>
      </c>
      <c r="F52" s="48">
        <v>2018</v>
      </c>
    </row>
    <row r="53" spans="1:7" x14ac:dyDescent="0.25">
      <c r="A53" s="47" t="s">
        <v>36</v>
      </c>
      <c r="B53" s="49">
        <v>1490</v>
      </c>
      <c r="C53" s="49">
        <v>2068</v>
      </c>
      <c r="D53" s="49">
        <v>395</v>
      </c>
      <c r="E53" s="49">
        <v>335</v>
      </c>
      <c r="F53" s="49">
        <v>328</v>
      </c>
      <c r="G53" t="s">
        <v>30</v>
      </c>
    </row>
    <row r="54" spans="1:7" s="6" customFormat="1" x14ac:dyDescent="0.25">
      <c r="A54" s="50" t="s">
        <v>20</v>
      </c>
      <c r="B54" s="51">
        <f>SUM(B55:B56)</f>
        <v>1699.5</v>
      </c>
      <c r="C54" s="51">
        <f t="shared" ref="C54:F54" si="16">SUM(C55:C56)</f>
        <v>1845.8</v>
      </c>
      <c r="D54" s="51">
        <f t="shared" si="16"/>
        <v>463.75</v>
      </c>
      <c r="E54" s="51">
        <f t="shared" si="16"/>
        <v>412.75</v>
      </c>
      <c r="F54" s="51">
        <f t="shared" si="16"/>
        <v>406.8</v>
      </c>
    </row>
    <row r="55" spans="1:7" x14ac:dyDescent="0.25">
      <c r="A55" s="52" t="s">
        <v>27</v>
      </c>
      <c r="B55" s="49">
        <v>433</v>
      </c>
      <c r="C55" s="49">
        <v>88</v>
      </c>
      <c r="D55" s="49">
        <v>128</v>
      </c>
      <c r="E55" s="49">
        <v>128</v>
      </c>
      <c r="F55" s="49">
        <v>128</v>
      </c>
      <c r="G55" t="s">
        <v>30</v>
      </c>
    </row>
    <row r="56" spans="1:7" x14ac:dyDescent="0.25">
      <c r="A56" s="52" t="s">
        <v>23</v>
      </c>
      <c r="B56" s="49">
        <f>B53*$B46</f>
        <v>1266.5</v>
      </c>
      <c r="C56" s="49">
        <f>C53*$B46</f>
        <v>1757.8</v>
      </c>
      <c r="D56" s="49">
        <f>D53*$B46</f>
        <v>335.75</v>
      </c>
      <c r="E56" s="49">
        <f>E53*$B46</f>
        <v>284.75</v>
      </c>
      <c r="F56" s="49">
        <f>F53*$B46</f>
        <v>278.8</v>
      </c>
    </row>
    <row r="57" spans="1:7" s="6" customFormat="1" x14ac:dyDescent="0.25">
      <c r="A57" s="50" t="s">
        <v>21</v>
      </c>
      <c r="B57" s="51">
        <f>SUM(B58:B59)</f>
        <v>455</v>
      </c>
      <c r="C57" s="51">
        <f t="shared" ref="C57:F57" si="17">SUM(C58:C59)</f>
        <v>262.8</v>
      </c>
      <c r="D57" s="51">
        <f t="shared" si="17"/>
        <v>55.5</v>
      </c>
      <c r="E57" s="51">
        <f t="shared" si="17"/>
        <v>49.5</v>
      </c>
      <c r="F57" s="51">
        <f t="shared" si="17"/>
        <v>48.800000000000004</v>
      </c>
    </row>
    <row r="58" spans="1:7" x14ac:dyDescent="0.25">
      <c r="A58" s="52" t="s">
        <v>28</v>
      </c>
      <c r="B58" s="49">
        <v>306</v>
      </c>
      <c r="C58" s="49">
        <v>56</v>
      </c>
      <c r="D58" s="49">
        <v>16</v>
      </c>
      <c r="E58" s="49">
        <v>16</v>
      </c>
      <c r="F58" s="49">
        <v>16</v>
      </c>
      <c r="G58" t="s">
        <v>30</v>
      </c>
    </row>
    <row r="59" spans="1:7" x14ac:dyDescent="0.25">
      <c r="A59" s="52" t="s">
        <v>24</v>
      </c>
      <c r="B59" s="49">
        <f>B53*$B47</f>
        <v>149</v>
      </c>
      <c r="C59" s="49">
        <f>C53*$B47</f>
        <v>206.8</v>
      </c>
      <c r="D59" s="49">
        <f>D53*$B47</f>
        <v>39.5</v>
      </c>
      <c r="E59" s="49">
        <f>E53*$B47</f>
        <v>33.5</v>
      </c>
      <c r="F59" s="49">
        <f>F53*$B47</f>
        <v>32.800000000000004</v>
      </c>
    </row>
    <row r="60" spans="1:7" s="6" customFormat="1" x14ac:dyDescent="0.25">
      <c r="A60" s="50" t="s">
        <v>22</v>
      </c>
      <c r="B60" s="51">
        <f>SUM(B61:B62)</f>
        <v>89.500000000000028</v>
      </c>
      <c r="C60" s="51">
        <f t="shared" ref="C60:F60" si="18">SUM(C61:C62)</f>
        <v>103.40000000000003</v>
      </c>
      <c r="D60" s="51">
        <f t="shared" si="18"/>
        <v>29.750000000000007</v>
      </c>
      <c r="E60" s="51">
        <f t="shared" si="18"/>
        <v>16.750000000000007</v>
      </c>
      <c r="F60" s="51">
        <f t="shared" si="18"/>
        <v>16.400000000000006</v>
      </c>
    </row>
    <row r="61" spans="1:7" x14ac:dyDescent="0.25">
      <c r="A61" s="52" t="s">
        <v>29</v>
      </c>
      <c r="B61" s="49">
        <v>15</v>
      </c>
      <c r="C61" s="49">
        <v>0</v>
      </c>
      <c r="D61" s="49">
        <v>10</v>
      </c>
      <c r="E61" s="49">
        <v>0</v>
      </c>
      <c r="F61" s="49">
        <v>0</v>
      </c>
      <c r="G61" t="s">
        <v>30</v>
      </c>
    </row>
    <row r="62" spans="1:7" x14ac:dyDescent="0.25">
      <c r="A62" s="52" t="s">
        <v>25</v>
      </c>
      <c r="B62" s="49">
        <f>B53*$B48</f>
        <v>74.500000000000028</v>
      </c>
      <c r="C62" s="49">
        <f>C53*$B48</f>
        <v>103.40000000000003</v>
      </c>
      <c r="D62" s="49">
        <f>D53*$B48</f>
        <v>19.750000000000007</v>
      </c>
      <c r="E62" s="49">
        <f>E53*$B48</f>
        <v>16.750000000000007</v>
      </c>
      <c r="F62" s="49">
        <f>F53*$B48</f>
        <v>16.400000000000006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7" workbookViewId="0">
      <selection activeCell="H22" sqref="H22"/>
    </sheetView>
  </sheetViews>
  <sheetFormatPr defaultRowHeight="15" x14ac:dyDescent="0.25"/>
  <cols>
    <col min="1" max="1" width="34.42578125" bestFit="1" customWidth="1"/>
    <col min="3" max="3" width="14.5703125" bestFit="1" customWidth="1"/>
    <col min="4" max="4" width="12.5703125" bestFit="1" customWidth="1"/>
    <col min="5" max="5" width="17" bestFit="1" customWidth="1"/>
    <col min="6" max="10" width="10.5703125" bestFit="1" customWidth="1"/>
  </cols>
  <sheetData>
    <row r="1" spans="1:10" x14ac:dyDescent="0.25">
      <c r="A1" t="s">
        <v>37</v>
      </c>
    </row>
    <row r="3" spans="1:10" x14ac:dyDescent="0.25">
      <c r="A3" s="9" t="s">
        <v>2</v>
      </c>
      <c r="B3" s="10"/>
      <c r="C3" s="10" t="s">
        <v>38</v>
      </c>
      <c r="D3" s="10" t="s">
        <v>39</v>
      </c>
      <c r="E3" s="10" t="s">
        <v>40</v>
      </c>
      <c r="F3" s="10">
        <v>2014</v>
      </c>
      <c r="G3" s="10">
        <v>2015</v>
      </c>
      <c r="H3" s="10">
        <v>2015</v>
      </c>
      <c r="I3" s="10">
        <v>2015</v>
      </c>
      <c r="J3" s="10">
        <v>2015</v>
      </c>
    </row>
    <row r="4" spans="1:10" x14ac:dyDescent="0.25">
      <c r="A4" s="11" t="s">
        <v>41</v>
      </c>
      <c r="C4">
        <v>11</v>
      </c>
      <c r="D4">
        <v>8</v>
      </c>
      <c r="E4">
        <f>C4*D4</f>
        <v>88</v>
      </c>
      <c r="F4">
        <f>E4/2</f>
        <v>44</v>
      </c>
      <c r="G4">
        <f>E4/2</f>
        <v>44</v>
      </c>
    </row>
    <row r="5" spans="1:10" x14ac:dyDescent="0.25">
      <c r="A5" s="11" t="s">
        <v>42</v>
      </c>
      <c r="C5">
        <v>40</v>
      </c>
      <c r="D5">
        <v>1</v>
      </c>
      <c r="E5">
        <f>C5*D5</f>
        <v>40</v>
      </c>
      <c r="F5">
        <f>E5/2</f>
        <v>20</v>
      </c>
      <c r="G5">
        <f>E5/2</f>
        <v>20</v>
      </c>
    </row>
    <row r="6" spans="1:10" x14ac:dyDescent="0.25">
      <c r="A6" s="11" t="s">
        <v>43</v>
      </c>
      <c r="C6">
        <v>10</v>
      </c>
      <c r="D6">
        <v>8</v>
      </c>
      <c r="E6">
        <f>C6*D6</f>
        <v>80</v>
      </c>
      <c r="F6">
        <f>E6/2</f>
        <v>40</v>
      </c>
      <c r="G6">
        <f>E6/2</f>
        <v>40</v>
      </c>
    </row>
    <row r="7" spans="1:10" ht="15.75" thickBot="1" x14ac:dyDescent="0.3">
      <c r="A7" s="12" t="s">
        <v>44</v>
      </c>
      <c r="B7" s="13"/>
      <c r="C7" s="13"/>
      <c r="D7" s="13"/>
      <c r="E7" s="13">
        <f>SUM(E4:E6)</f>
        <v>208</v>
      </c>
      <c r="F7" s="13">
        <f t="shared" ref="F7:J7" si="0">SUM(F4:F6)</f>
        <v>104</v>
      </c>
      <c r="G7" s="13">
        <f t="shared" si="0"/>
        <v>104</v>
      </c>
      <c r="H7" s="13">
        <f t="shared" si="0"/>
        <v>0</v>
      </c>
      <c r="I7" s="13">
        <f t="shared" si="0"/>
        <v>0</v>
      </c>
      <c r="J7" s="13">
        <f t="shared" si="0"/>
        <v>0</v>
      </c>
    </row>
    <row r="8" spans="1:10" x14ac:dyDescent="0.25">
      <c r="A8" s="11"/>
    </row>
    <row r="9" spans="1:10" x14ac:dyDescent="0.25">
      <c r="A9" s="9" t="s">
        <v>45</v>
      </c>
      <c r="B9" s="9"/>
      <c r="C9" s="10" t="s">
        <v>38</v>
      </c>
      <c r="D9" s="10" t="s">
        <v>39</v>
      </c>
      <c r="E9" s="10" t="s">
        <v>40</v>
      </c>
      <c r="F9" s="10">
        <v>2014</v>
      </c>
      <c r="G9" s="10">
        <v>2015</v>
      </c>
      <c r="H9" s="10">
        <v>2015</v>
      </c>
      <c r="I9" s="10">
        <v>2015</v>
      </c>
      <c r="J9" s="10">
        <v>2015</v>
      </c>
    </row>
    <row r="10" spans="1:10" x14ac:dyDescent="0.25">
      <c r="A10" s="11" t="s">
        <v>46</v>
      </c>
      <c r="C10" s="14">
        <f>1000/1000000</f>
        <v>1E-3</v>
      </c>
      <c r="D10" s="15">
        <f>700*1.1</f>
        <v>770.00000000000011</v>
      </c>
      <c r="E10" s="15">
        <f>C10*D10</f>
        <v>0.77000000000000013</v>
      </c>
      <c r="F10" s="15">
        <f>E10</f>
        <v>0.77000000000000013</v>
      </c>
      <c r="G10" s="15">
        <v>7.7000000000000013E-2</v>
      </c>
      <c r="H10" s="15">
        <v>7.7000000000000013E-2</v>
      </c>
      <c r="I10" s="15">
        <v>7.7000000000000013E-2</v>
      </c>
      <c r="J10" s="15">
        <v>7.7000000000000013E-2</v>
      </c>
    </row>
    <row r="11" spans="1:10" x14ac:dyDescent="0.25">
      <c r="A11" s="11" t="s">
        <v>47</v>
      </c>
      <c r="C11" s="15">
        <f>(100000000/155)/1000000</f>
        <v>0.64516129032258063</v>
      </c>
      <c r="D11" s="15">
        <v>1</v>
      </c>
      <c r="E11" s="15">
        <f>C11*D11</f>
        <v>0.64516129032258063</v>
      </c>
      <c r="F11" s="15">
        <v>0.64516129032258063</v>
      </c>
      <c r="G11" s="15">
        <v>0.64516129032258063</v>
      </c>
      <c r="H11" s="15">
        <v>0.64516129032258063</v>
      </c>
      <c r="I11" s="15">
        <v>0.64516129032258063</v>
      </c>
      <c r="J11" s="15">
        <v>0.64516129032258063</v>
      </c>
    </row>
    <row r="12" spans="1:10" x14ac:dyDescent="0.25">
      <c r="A12" s="11" t="s">
        <v>48</v>
      </c>
      <c r="C12" s="15">
        <f>(40000000/155)/1000000</f>
        <v>0.25806451612903225</v>
      </c>
      <c r="D12" s="15">
        <v>1</v>
      </c>
      <c r="E12" s="15">
        <f t="shared" ref="E12:E14" si="1">C12*D12</f>
        <v>0.25806451612903225</v>
      </c>
      <c r="F12" s="15">
        <f>E12</f>
        <v>0.25806451612903225</v>
      </c>
      <c r="G12" s="15">
        <f t="shared" ref="G12:J13" si="2">F12</f>
        <v>0.25806451612903225</v>
      </c>
      <c r="H12" s="15">
        <f t="shared" si="2"/>
        <v>0.25806451612903225</v>
      </c>
      <c r="I12" s="15">
        <f t="shared" si="2"/>
        <v>0.25806451612903225</v>
      </c>
      <c r="J12" s="15">
        <f t="shared" si="2"/>
        <v>0.25806451612903225</v>
      </c>
    </row>
    <row r="13" spans="1:10" x14ac:dyDescent="0.25">
      <c r="A13" s="11" t="s">
        <v>49</v>
      </c>
      <c r="C13" s="15">
        <f>(12000000/155)/1000000</f>
        <v>7.7419354838709681E-2</v>
      </c>
      <c r="D13" s="15">
        <v>1</v>
      </c>
      <c r="E13" s="15">
        <f t="shared" si="1"/>
        <v>7.7419354838709681E-2</v>
      </c>
      <c r="F13" s="15">
        <f>E13</f>
        <v>7.7419354838709681E-2</v>
      </c>
      <c r="G13" s="15">
        <f t="shared" si="2"/>
        <v>7.7419354838709681E-2</v>
      </c>
      <c r="H13" s="15">
        <f t="shared" si="2"/>
        <v>7.7419354838709681E-2</v>
      </c>
      <c r="I13" s="15">
        <f t="shared" si="2"/>
        <v>7.7419354838709681E-2</v>
      </c>
      <c r="J13" s="15">
        <f t="shared" si="2"/>
        <v>7.7419354838709681E-2</v>
      </c>
    </row>
    <row r="14" spans="1:10" x14ac:dyDescent="0.25">
      <c r="A14" s="11" t="s">
        <v>50</v>
      </c>
      <c r="C14" s="15"/>
      <c r="D14" s="15"/>
      <c r="E14" s="15">
        <f t="shared" si="1"/>
        <v>0</v>
      </c>
      <c r="F14" s="15"/>
      <c r="G14" s="15"/>
      <c r="H14" s="15"/>
      <c r="I14" s="15"/>
      <c r="J14" s="15"/>
    </row>
    <row r="15" spans="1:10" ht="15.75" thickBot="1" x14ac:dyDescent="0.3">
      <c r="A15" s="12" t="s">
        <v>51</v>
      </c>
      <c r="B15" s="13"/>
      <c r="C15" s="13"/>
      <c r="D15" s="13"/>
      <c r="E15" s="16">
        <f>SUM(E10:E11)</f>
        <v>1.4151612903225808</v>
      </c>
      <c r="F15" s="16">
        <f>SUM(F10:F14)</f>
        <v>1.7506451612903227</v>
      </c>
      <c r="G15" s="16">
        <f t="shared" ref="G15:J15" si="3">SUM(G10:G14)</f>
        <v>1.0576451612903226</v>
      </c>
      <c r="H15" s="16">
        <f t="shared" si="3"/>
        <v>1.0576451612903226</v>
      </c>
      <c r="I15" s="16">
        <f t="shared" si="3"/>
        <v>1.0576451612903226</v>
      </c>
      <c r="J15" s="16">
        <f t="shared" si="3"/>
        <v>1.0576451612903226</v>
      </c>
    </row>
    <row r="16" spans="1:10" x14ac:dyDescent="0.25">
      <c r="E16" t="s">
        <v>52</v>
      </c>
    </row>
    <row r="17" spans="1:10" x14ac:dyDescent="0.25">
      <c r="A17" s="9" t="s">
        <v>53</v>
      </c>
      <c r="B17" s="10"/>
      <c r="C17" s="10" t="s">
        <v>54</v>
      </c>
      <c r="D17" s="10" t="s">
        <v>39</v>
      </c>
      <c r="E17" s="10" t="s">
        <v>40</v>
      </c>
      <c r="F17" s="10">
        <v>2014</v>
      </c>
      <c r="G17" s="10">
        <v>2015</v>
      </c>
      <c r="H17" s="10">
        <v>2016</v>
      </c>
      <c r="I17" s="10">
        <v>2017</v>
      </c>
      <c r="J17" s="10">
        <v>2018</v>
      </c>
    </row>
    <row r="18" spans="1:10" x14ac:dyDescent="0.25">
      <c r="A18" s="11" t="s">
        <v>55</v>
      </c>
      <c r="C18">
        <f>85000/1000000</f>
        <v>8.5000000000000006E-2</v>
      </c>
      <c r="D18">
        <v>400</v>
      </c>
      <c r="E18">
        <f>C18*D18</f>
        <v>34</v>
      </c>
      <c r="F18">
        <f>(200/D18)*E18</f>
        <v>17</v>
      </c>
      <c r="G18">
        <f>(120/D18)*E18</f>
        <v>10.199999999999999</v>
      </c>
      <c r="H18">
        <f>(80/D18)*E18</f>
        <v>6.8000000000000007</v>
      </c>
    </row>
    <row r="19" spans="1:10" x14ac:dyDescent="0.25">
      <c r="A19" s="11" t="s">
        <v>56</v>
      </c>
      <c r="C19">
        <v>2</v>
      </c>
      <c r="D19">
        <v>8</v>
      </c>
      <c r="E19">
        <f>C19*D19</f>
        <v>16</v>
      </c>
      <c r="F19">
        <f>E19</f>
        <v>16</v>
      </c>
    </row>
    <row r="20" spans="1:10" x14ac:dyDescent="0.25">
      <c r="A20" s="11" t="s">
        <v>57</v>
      </c>
      <c r="C20">
        <v>8.5000000000000006E-2</v>
      </c>
      <c r="D20">
        <v>160</v>
      </c>
      <c r="E20">
        <f>C20*D20</f>
        <v>13.600000000000001</v>
      </c>
      <c r="I20">
        <f>E20/2</f>
        <v>6.8000000000000007</v>
      </c>
      <c r="J20">
        <f>E20/2</f>
        <v>6.8000000000000007</v>
      </c>
    </row>
    <row r="21" spans="1:10" x14ac:dyDescent="0.25">
      <c r="A21" s="11" t="s">
        <v>58</v>
      </c>
      <c r="C21">
        <v>0.04</v>
      </c>
      <c r="F21">
        <f>(525-422)*C21</f>
        <v>4.12</v>
      </c>
      <c r="G21">
        <f>(525*0.1)*C21</f>
        <v>2.1</v>
      </c>
      <c r="H21">
        <v>2.1</v>
      </c>
      <c r="I21">
        <v>2.1</v>
      </c>
      <c r="J21">
        <v>2.1</v>
      </c>
    </row>
    <row r="22" spans="1:10" x14ac:dyDescent="0.25">
      <c r="A22" s="11" t="s">
        <v>59</v>
      </c>
      <c r="C22">
        <v>0.04</v>
      </c>
      <c r="F22">
        <f>25*C22</f>
        <v>1</v>
      </c>
      <c r="G22">
        <f>35*C22</f>
        <v>1.4000000000000001</v>
      </c>
      <c r="H22">
        <f>45*C22</f>
        <v>1.8</v>
      </c>
      <c r="I22">
        <f>55*C22</f>
        <v>2.2000000000000002</v>
      </c>
      <c r="J22">
        <f>65*C22</f>
        <v>2.6</v>
      </c>
    </row>
    <row r="23" spans="1:10" x14ac:dyDescent="0.25">
      <c r="A23" s="11" t="s">
        <v>60</v>
      </c>
      <c r="C23">
        <v>0.04</v>
      </c>
      <c r="F23" s="17">
        <f>(97000000/6000000)*C23</f>
        <v>0.64666666666666672</v>
      </c>
      <c r="G23" s="15">
        <v>0.64666666666666672</v>
      </c>
      <c r="H23" s="15">
        <v>0.64666666666666672</v>
      </c>
      <c r="I23" s="15">
        <v>0.64666666666666672</v>
      </c>
      <c r="J23" s="15">
        <v>0.64666666666666672</v>
      </c>
    </row>
    <row r="24" spans="1:10" x14ac:dyDescent="0.25">
      <c r="A24" s="11" t="s">
        <v>61</v>
      </c>
      <c r="C24">
        <v>0.04</v>
      </c>
    </row>
    <row r="25" spans="1:10" x14ac:dyDescent="0.25">
      <c r="A25" s="11"/>
    </row>
    <row r="26" spans="1:10" ht="15.75" thickBot="1" x14ac:dyDescent="0.3">
      <c r="A26" s="12" t="s">
        <v>62</v>
      </c>
      <c r="B26" s="13"/>
      <c r="C26" s="13"/>
      <c r="D26" s="13"/>
      <c r="E26" s="18">
        <f>SUM(E18:E25)</f>
        <v>63.6</v>
      </c>
      <c r="F26" s="18">
        <f>SUM(F18:F25)</f>
        <v>38.766666666666666</v>
      </c>
      <c r="G26" s="18">
        <f t="shared" ref="G26:J26" si="4">SUM(G18:G25)</f>
        <v>14.346666666666666</v>
      </c>
      <c r="H26" s="18">
        <f t="shared" si="4"/>
        <v>11.346666666666668</v>
      </c>
      <c r="I26" s="18">
        <f t="shared" si="4"/>
        <v>11.746666666666668</v>
      </c>
      <c r="J26" s="18">
        <f t="shared" si="4"/>
        <v>12.146666666666667</v>
      </c>
    </row>
    <row r="27" spans="1:10" x14ac:dyDescent="0.25">
      <c r="A27" s="11" t="s">
        <v>63</v>
      </c>
    </row>
    <row r="28" spans="1:10" x14ac:dyDescent="0.25">
      <c r="A28" s="11" t="s">
        <v>64</v>
      </c>
    </row>
    <row r="30" spans="1:10" x14ac:dyDescent="0.25">
      <c r="A30" s="11" t="s">
        <v>65</v>
      </c>
      <c r="F30">
        <f>SUM(F18:F21)</f>
        <v>37.119999999999997</v>
      </c>
      <c r="G30">
        <f t="shared" ref="G30:J30" si="5">SUM(G18:G21)</f>
        <v>12.299999999999999</v>
      </c>
      <c r="H30">
        <f t="shared" si="5"/>
        <v>8.9</v>
      </c>
      <c r="I30">
        <f t="shared" si="5"/>
        <v>8.9</v>
      </c>
      <c r="J30">
        <f t="shared" si="5"/>
        <v>8.9</v>
      </c>
    </row>
    <row r="31" spans="1:10" x14ac:dyDescent="0.25">
      <c r="F31">
        <f>F21*160</f>
        <v>659.2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G28" sqref="G28"/>
    </sheetView>
  </sheetViews>
  <sheetFormatPr defaultRowHeight="15" x14ac:dyDescent="0.25"/>
  <cols>
    <col min="1" max="1" width="35.140625" customWidth="1"/>
    <col min="3" max="3" width="10.140625" bestFit="1" customWidth="1"/>
    <col min="8" max="8" width="14.140625" customWidth="1"/>
    <col min="9" max="9" width="9.85546875" bestFit="1" customWidth="1"/>
  </cols>
  <sheetData>
    <row r="1" spans="1:11" x14ac:dyDescent="0.25">
      <c r="A1" s="1" t="s">
        <v>66</v>
      </c>
    </row>
    <row r="2" spans="1:11" s="19" customFormat="1" x14ac:dyDescent="0.25">
      <c r="B2" s="20" t="s">
        <v>67</v>
      </c>
      <c r="C2" s="20" t="s">
        <v>68</v>
      </c>
      <c r="D2" s="20" t="s">
        <v>69</v>
      </c>
      <c r="F2"/>
      <c r="G2" s="21"/>
    </row>
    <row r="3" spans="1:11" x14ac:dyDescent="0.25">
      <c r="A3" t="s">
        <v>70</v>
      </c>
      <c r="B3" s="22">
        <f>946675703/1000000</f>
        <v>946.675703</v>
      </c>
      <c r="C3" s="23">
        <v>4500</v>
      </c>
      <c r="D3">
        <v>2015</v>
      </c>
    </row>
    <row r="4" spans="1:11" x14ac:dyDescent="0.25">
      <c r="A4" t="s">
        <v>46</v>
      </c>
      <c r="B4" s="22">
        <v>0.77000000000000013</v>
      </c>
      <c r="C4" s="23"/>
    </row>
    <row r="5" spans="1:11" x14ac:dyDescent="0.25">
      <c r="A5" t="s">
        <v>71</v>
      </c>
      <c r="B5" s="24">
        <f>158288261119.68/160/1000000</f>
        <v>989.30163199799995</v>
      </c>
      <c r="C5" s="25" t="s">
        <v>72</v>
      </c>
      <c r="D5">
        <v>2015</v>
      </c>
    </row>
    <row r="6" spans="1:11" x14ac:dyDescent="0.25">
      <c r="A6" t="s">
        <v>73</v>
      </c>
      <c r="B6" s="22">
        <v>2235</v>
      </c>
      <c r="C6" s="23">
        <v>10000</v>
      </c>
      <c r="D6">
        <v>2017</v>
      </c>
    </row>
    <row r="7" spans="1:11" x14ac:dyDescent="0.25">
      <c r="A7" t="s">
        <v>74</v>
      </c>
      <c r="B7" s="22">
        <v>1570</v>
      </c>
      <c r="C7" s="23">
        <v>13000</v>
      </c>
      <c r="D7">
        <v>2018</v>
      </c>
    </row>
    <row r="8" spans="1:11" x14ac:dyDescent="0.25">
      <c r="A8" t="s">
        <v>75</v>
      </c>
      <c r="B8" s="22">
        <v>1000</v>
      </c>
      <c r="C8" s="23">
        <v>16000</v>
      </c>
      <c r="D8">
        <v>2019</v>
      </c>
    </row>
    <row r="9" spans="1:11" x14ac:dyDescent="0.25">
      <c r="A9" t="s">
        <v>76</v>
      </c>
      <c r="B9" s="26">
        <v>1000</v>
      </c>
      <c r="C9" s="23">
        <v>20000</v>
      </c>
      <c r="D9">
        <v>2020</v>
      </c>
    </row>
    <row r="10" spans="1:11" x14ac:dyDescent="0.25">
      <c r="B10" s="22">
        <f>SUM(B3:B9)</f>
        <v>7741.747334998</v>
      </c>
    </row>
    <row r="11" spans="1:11" x14ac:dyDescent="0.25">
      <c r="B11" s="27"/>
    </row>
    <row r="12" spans="1:11" x14ac:dyDescent="0.25">
      <c r="A12" s="1" t="s">
        <v>77</v>
      </c>
      <c r="B12" s="1">
        <v>2014</v>
      </c>
      <c r="C12" s="1">
        <v>2015</v>
      </c>
      <c r="D12" s="1">
        <v>2016</v>
      </c>
      <c r="E12" s="1">
        <v>2017</v>
      </c>
      <c r="F12" s="1">
        <v>2018</v>
      </c>
      <c r="G12" s="1">
        <v>2019</v>
      </c>
      <c r="H12" s="1">
        <v>2020</v>
      </c>
      <c r="K12" s="20" t="s">
        <v>78</v>
      </c>
    </row>
    <row r="13" spans="1:11" x14ac:dyDescent="0.25">
      <c r="A13" t="s">
        <v>70</v>
      </c>
      <c r="B13" s="22">
        <f>B3*0.6</f>
        <v>568.00542180000002</v>
      </c>
      <c r="C13" s="22">
        <f>B3*0.25</f>
        <v>236.66892575</v>
      </c>
      <c r="D13" s="22">
        <f>B3*0.05</f>
        <v>47.333785150000004</v>
      </c>
      <c r="E13" s="22">
        <f>B3*0.05</f>
        <v>47.333785150000004</v>
      </c>
      <c r="F13" s="22">
        <f>B3*0.05</f>
        <v>47.333785150000004</v>
      </c>
      <c r="G13" s="22"/>
      <c r="H13" s="22"/>
      <c r="I13" s="22"/>
      <c r="J13" s="22"/>
      <c r="K13" s="22">
        <f>SUM(B13:H13)</f>
        <v>946.67570300000011</v>
      </c>
    </row>
    <row r="14" spans="1:11" x14ac:dyDescent="0.25">
      <c r="A14" t="s">
        <v>46</v>
      </c>
      <c r="B14" s="22">
        <v>0.77000000000000013</v>
      </c>
      <c r="C14" s="22">
        <v>7.7000000000000013E-2</v>
      </c>
      <c r="D14" s="22">
        <v>7.7000000000000013E-2</v>
      </c>
      <c r="E14" s="22">
        <v>7.7000000000000013E-2</v>
      </c>
      <c r="F14" s="22">
        <v>7.7000000000000013E-2</v>
      </c>
      <c r="G14" s="3"/>
      <c r="J14" s="22"/>
      <c r="K14" s="22">
        <f t="shared" ref="K14:K23" si="0">SUM(B14:H14)</f>
        <v>1.0780000000000001</v>
      </c>
    </row>
    <row r="15" spans="1:11" x14ac:dyDescent="0.25">
      <c r="A15" t="s">
        <v>71</v>
      </c>
      <c r="B15" s="22">
        <f>0.5*B5</f>
        <v>494.65081599899997</v>
      </c>
      <c r="C15" s="22">
        <f>0.5*B5</f>
        <v>494.65081599899997</v>
      </c>
      <c r="D15" s="22"/>
      <c r="E15" s="22"/>
      <c r="F15" s="22"/>
      <c r="G15" s="22"/>
      <c r="H15" s="22"/>
      <c r="I15" s="22"/>
      <c r="J15" s="22"/>
      <c r="K15" s="22">
        <f t="shared" si="0"/>
        <v>989.30163199799995</v>
      </c>
    </row>
    <row r="16" spans="1:11" x14ac:dyDescent="0.25">
      <c r="A16" t="s">
        <v>73</v>
      </c>
      <c r="B16" s="22"/>
      <c r="C16" s="22">
        <f>0.7*B6</f>
        <v>1564.5</v>
      </c>
      <c r="D16" s="22">
        <f>(B6-C16)/2</f>
        <v>335.25</v>
      </c>
      <c r="E16" s="22">
        <f>(B6-C16)/2</f>
        <v>335.25</v>
      </c>
      <c r="F16" s="22"/>
      <c r="G16" s="22"/>
      <c r="H16" s="22"/>
      <c r="I16" s="22"/>
      <c r="J16" s="22"/>
      <c r="K16" s="22">
        <f t="shared" si="0"/>
        <v>2235</v>
      </c>
    </row>
    <row r="17" spans="1:12" x14ac:dyDescent="0.25">
      <c r="A17" t="s">
        <v>74</v>
      </c>
      <c r="B17" s="22"/>
      <c r="C17" s="22"/>
      <c r="D17" s="22">
        <f>0.7*B7</f>
        <v>1099</v>
      </c>
      <c r="E17" s="22">
        <f>(B7-D17)/2</f>
        <v>235.5</v>
      </c>
      <c r="F17" s="22">
        <f>(B7-D17)/2</f>
        <v>235.5</v>
      </c>
      <c r="G17" s="22"/>
      <c r="H17" s="22"/>
      <c r="I17" s="22"/>
      <c r="J17" s="22"/>
      <c r="K17" s="22">
        <f t="shared" si="0"/>
        <v>1570</v>
      </c>
    </row>
    <row r="18" spans="1:12" x14ac:dyDescent="0.25">
      <c r="A18" t="s">
        <v>75</v>
      </c>
      <c r="B18" s="22"/>
      <c r="C18" s="22"/>
      <c r="D18" s="22"/>
      <c r="E18" s="22">
        <v>700</v>
      </c>
      <c r="F18" s="22">
        <v>150</v>
      </c>
      <c r="G18" s="22">
        <v>150</v>
      </c>
      <c r="H18" s="22"/>
      <c r="I18" s="22"/>
      <c r="J18" s="22"/>
      <c r="K18" s="22">
        <f t="shared" si="0"/>
        <v>1000</v>
      </c>
    </row>
    <row r="19" spans="1:12" x14ac:dyDescent="0.25">
      <c r="A19" t="s">
        <v>76</v>
      </c>
      <c r="B19" s="22"/>
      <c r="C19" s="22"/>
      <c r="D19" s="22"/>
      <c r="E19" s="22"/>
      <c r="F19" s="22">
        <v>700</v>
      </c>
      <c r="G19" s="22">
        <v>150</v>
      </c>
      <c r="H19" s="22">
        <v>150</v>
      </c>
      <c r="I19" s="22"/>
      <c r="J19" s="22"/>
      <c r="K19" s="22">
        <f t="shared" si="0"/>
        <v>1000</v>
      </c>
      <c r="L19" s="3"/>
    </row>
    <row r="20" spans="1:12" x14ac:dyDescent="0.25">
      <c r="A20" s="28" t="s">
        <v>79</v>
      </c>
      <c r="B20" s="29">
        <f>SUM(B13:B19)</f>
        <v>1063.4262377989999</v>
      </c>
      <c r="C20" s="29">
        <f t="shared" ref="C20:H20" si="1">SUM(C13:C19)</f>
        <v>2295.8967417489998</v>
      </c>
      <c r="D20" s="29">
        <f t="shared" si="1"/>
        <v>1481.66078515</v>
      </c>
      <c r="E20" s="29">
        <f t="shared" si="1"/>
        <v>1318.16078515</v>
      </c>
      <c r="F20" s="29">
        <f t="shared" si="1"/>
        <v>1132.91078515</v>
      </c>
      <c r="G20" s="29">
        <f t="shared" si="1"/>
        <v>300</v>
      </c>
      <c r="H20" s="29">
        <f t="shared" si="1"/>
        <v>150</v>
      </c>
      <c r="I20" s="29">
        <f>SUM(B20:H20)</f>
        <v>7742.055334998</v>
      </c>
      <c r="J20" s="29"/>
      <c r="K20" s="29">
        <f t="shared" si="0"/>
        <v>7742.055334998</v>
      </c>
    </row>
    <row r="21" spans="1:12" x14ac:dyDescent="0.25">
      <c r="A21" t="s">
        <v>80</v>
      </c>
      <c r="B21" s="22"/>
      <c r="C21" s="22"/>
      <c r="D21" s="22"/>
      <c r="E21" s="22"/>
      <c r="F21" s="22"/>
      <c r="G21" s="22">
        <v>700</v>
      </c>
      <c r="H21" s="22">
        <v>150</v>
      </c>
      <c r="I21" s="22">
        <v>150</v>
      </c>
      <c r="J21" s="22"/>
      <c r="K21" s="22">
        <f t="shared" si="0"/>
        <v>850</v>
      </c>
    </row>
    <row r="22" spans="1:12" x14ac:dyDescent="0.25">
      <c r="A22" t="s">
        <v>81</v>
      </c>
      <c r="B22" s="22"/>
      <c r="C22" s="22"/>
      <c r="D22" s="22"/>
      <c r="E22" s="22"/>
      <c r="F22" s="22"/>
      <c r="G22" s="22"/>
      <c r="H22" s="22">
        <v>700</v>
      </c>
      <c r="I22" s="22">
        <v>150</v>
      </c>
      <c r="J22" s="22">
        <v>150</v>
      </c>
      <c r="K22" s="26">
        <f t="shared" si="0"/>
        <v>700</v>
      </c>
    </row>
    <row r="23" spans="1:12" x14ac:dyDescent="0.25">
      <c r="A23" s="28" t="s">
        <v>82</v>
      </c>
      <c r="B23" s="29">
        <f>B20+B21+B22</f>
        <v>1063.4262377989999</v>
      </c>
      <c r="C23" s="29">
        <f>C20+C21+C22</f>
        <v>2295.8967417489998</v>
      </c>
      <c r="D23" s="29">
        <f>D20+D21+D22</f>
        <v>1481.66078515</v>
      </c>
      <c r="E23" s="29">
        <f>E20+E21+E22</f>
        <v>1318.16078515</v>
      </c>
      <c r="F23" s="29">
        <f>F20+F21+F22</f>
        <v>1132.91078515</v>
      </c>
      <c r="G23" s="29">
        <f t="shared" ref="G23:H23" si="2">G20+G21+G22</f>
        <v>1000</v>
      </c>
      <c r="H23" s="29">
        <f t="shared" si="2"/>
        <v>1000</v>
      </c>
      <c r="I23" s="29"/>
      <c r="J23" s="29"/>
      <c r="K23" s="29">
        <f t="shared" si="0"/>
        <v>9292.055334998</v>
      </c>
    </row>
    <row r="24" spans="1:12" x14ac:dyDescent="0.25">
      <c r="A24" t="s">
        <v>83</v>
      </c>
      <c r="B24" s="22">
        <f>B23</f>
        <v>1063.4262377989999</v>
      </c>
      <c r="C24" s="22">
        <f>SUM($B23:C23)</f>
        <v>3359.3229795479997</v>
      </c>
      <c r="D24" s="22">
        <f>SUM($B23:D23)</f>
        <v>4840.9837646979995</v>
      </c>
      <c r="E24" s="22">
        <f>SUM($B23:E23)</f>
        <v>6159.1445498479998</v>
      </c>
      <c r="F24" s="22">
        <f>SUM($B23:F23)</f>
        <v>7292.055334998</v>
      </c>
      <c r="G24" s="22">
        <f>SUM($B23:G23)</f>
        <v>8292.055334998</v>
      </c>
      <c r="H24" s="22">
        <f>SUM($B23:H23)</f>
        <v>9292.055334998</v>
      </c>
      <c r="I24" s="22"/>
      <c r="J24" s="22"/>
    </row>
    <row r="25" spans="1:12" ht="15.75" thickBot="1" x14ac:dyDescent="0.3"/>
    <row r="26" spans="1:12" x14ac:dyDescent="0.25">
      <c r="A26" s="30" t="s">
        <v>84</v>
      </c>
      <c r="B26" s="31"/>
      <c r="C26" s="31"/>
      <c r="D26" s="31"/>
      <c r="E26" s="31"/>
      <c r="F26" s="32"/>
    </row>
    <row r="27" spans="1:12" x14ac:dyDescent="0.25">
      <c r="A27" s="33" t="s">
        <v>10</v>
      </c>
      <c r="B27" s="34">
        <f>B13</f>
        <v>568.00542180000002</v>
      </c>
      <c r="C27" s="34">
        <f t="shared" ref="C27:F27" si="3">C13</f>
        <v>236.66892575</v>
      </c>
      <c r="D27" s="34">
        <f t="shared" si="3"/>
        <v>47.333785150000004</v>
      </c>
      <c r="E27" s="34">
        <f t="shared" si="3"/>
        <v>47.333785150000004</v>
      </c>
      <c r="F27" s="35">
        <f t="shared" si="3"/>
        <v>47.333785150000004</v>
      </c>
    </row>
    <row r="28" spans="1:12" ht="15.75" thickBot="1" x14ac:dyDescent="0.3">
      <c r="A28" s="36" t="s">
        <v>11</v>
      </c>
      <c r="B28" s="37">
        <f>B23-B27</f>
        <v>495.42081599899984</v>
      </c>
      <c r="C28" s="37">
        <f>C23-C27</f>
        <v>2059.2278159989996</v>
      </c>
      <c r="D28" s="37">
        <f>D23-D27</f>
        <v>1434.327</v>
      </c>
      <c r="E28" s="37">
        <f>E23-E27</f>
        <v>1270.827</v>
      </c>
      <c r="F28" s="38">
        <f>F23-F27</f>
        <v>1085.577</v>
      </c>
    </row>
    <row r="30" spans="1:12" x14ac:dyDescent="0.25">
      <c r="B30" s="22"/>
      <c r="C30" s="22"/>
      <c r="D30" s="22"/>
      <c r="E30" s="22"/>
      <c r="F30" s="22"/>
    </row>
    <row r="31" spans="1:12" x14ac:dyDescent="0.25">
      <c r="A31" t="s">
        <v>85</v>
      </c>
    </row>
    <row r="32" spans="1:12" x14ac:dyDescent="0.25">
      <c r="A32" t="s">
        <v>86</v>
      </c>
    </row>
    <row r="33" spans="1:8" x14ac:dyDescent="0.25">
      <c r="A33" t="s">
        <v>87</v>
      </c>
    </row>
    <row r="34" spans="1:8" x14ac:dyDescent="0.25">
      <c r="A34" t="s">
        <v>88</v>
      </c>
    </row>
    <row r="35" spans="1:8" x14ac:dyDescent="0.25">
      <c r="A35" t="s">
        <v>89</v>
      </c>
    </row>
    <row r="36" spans="1:8" x14ac:dyDescent="0.25">
      <c r="A36" t="s">
        <v>90</v>
      </c>
    </row>
    <row r="37" spans="1:8" x14ac:dyDescent="0.25">
      <c r="A37" t="s">
        <v>91</v>
      </c>
    </row>
    <row r="38" spans="1:8" x14ac:dyDescent="0.25">
      <c r="A38" t="s">
        <v>92</v>
      </c>
    </row>
    <row r="39" spans="1:8" x14ac:dyDescent="0.25">
      <c r="A39" t="s">
        <v>93</v>
      </c>
    </row>
    <row r="40" spans="1:8" x14ac:dyDescent="0.25">
      <c r="A40" t="s">
        <v>94</v>
      </c>
    </row>
    <row r="43" spans="1:8" x14ac:dyDescent="0.25">
      <c r="A43" s="1" t="s">
        <v>95</v>
      </c>
    </row>
    <row r="44" spans="1:8" x14ac:dyDescent="0.25">
      <c r="B44" s="1">
        <v>2014</v>
      </c>
      <c r="C44" s="1">
        <v>2015</v>
      </c>
      <c r="D44" s="1">
        <v>2016</v>
      </c>
      <c r="E44" s="1">
        <v>2017</v>
      </c>
      <c r="F44" s="1">
        <v>2018</v>
      </c>
      <c r="G44" s="1">
        <v>2019</v>
      </c>
      <c r="H44" s="1">
        <v>2020</v>
      </c>
    </row>
    <row r="45" spans="1:8" x14ac:dyDescent="0.25">
      <c r="A45" t="s">
        <v>96</v>
      </c>
      <c r="D45">
        <v>7000</v>
      </c>
      <c r="E45">
        <v>10000</v>
      </c>
      <c r="F45">
        <v>13000</v>
      </c>
      <c r="G45">
        <v>16000</v>
      </c>
      <c r="H45">
        <v>20000</v>
      </c>
    </row>
    <row r="46" spans="1:8" x14ac:dyDescent="0.25">
      <c r="A46" t="s">
        <v>97</v>
      </c>
      <c r="B46">
        <v>5664</v>
      </c>
      <c r="C46">
        <v>5858</v>
      </c>
      <c r="D46">
        <v>6766</v>
      </c>
      <c r="E46">
        <v>7672</v>
      </c>
      <c r="F46">
        <v>8579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CAPEX Budgets</vt:lpstr>
      <vt:lpstr>Furn bgs vehicles</vt:lpstr>
      <vt:lpstr>TSP Major Proj CAPEX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tsimpson</dc:creator>
  <cp:lastModifiedBy>Gulam Dhalla</cp:lastModifiedBy>
  <dcterms:created xsi:type="dcterms:W3CDTF">2014-02-06T12:52:57Z</dcterms:created>
  <dcterms:modified xsi:type="dcterms:W3CDTF">2014-05-28T10:32:41Z</dcterms:modified>
</cp:coreProperties>
</file>